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Community Foundation - ROI\ROI Multi-Family Presentation\"/>
    </mc:Choice>
  </mc:AlternateContent>
  <bookViews>
    <workbookView xWindow="0" yWindow="0" windowWidth="19200" windowHeight="6735" firstSheet="1" activeTab="4"/>
  </bookViews>
  <sheets>
    <sheet name="Bloomfield Road" sheetId="2" state="hidden" r:id="rId1"/>
    <sheet name="Bloomfield Apts." sheetId="3" r:id="rId2"/>
    <sheet name="New Development" sheetId="1" r:id="rId3"/>
    <sheet name="Blank 3 Column" sheetId="4" r:id="rId4"/>
    <sheet name="Blank Development" sheetId="5" r:id="rId5"/>
  </sheets>
  <definedNames>
    <definedName name="_xlnm.Print_Area" localSheetId="4">'Blank Development'!$A$1:$L$165</definedName>
    <definedName name="_xlnm.Print_Area" localSheetId="0">'Bloomfield Road'!$A$1:$L$165</definedName>
    <definedName name="_xlnm.Print_Area" localSheetId="2">'New Development'!$A$1:$L$165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5" l="1"/>
  <c r="C162" i="5"/>
  <c r="A160" i="5"/>
  <c r="A159" i="5"/>
  <c r="A158" i="5"/>
  <c r="A143" i="5"/>
  <c r="A142" i="5"/>
  <c r="A141" i="5"/>
  <c r="C140" i="5"/>
  <c r="D131" i="5"/>
  <c r="I127" i="5"/>
  <c r="K127" i="5" s="1"/>
  <c r="G126" i="5"/>
  <c r="E126" i="5"/>
  <c r="I125" i="5"/>
  <c r="K125" i="5" s="1"/>
  <c r="I124" i="5"/>
  <c r="K124" i="5" s="1"/>
  <c r="I123" i="5"/>
  <c r="K123" i="5" s="1"/>
  <c r="I122" i="5"/>
  <c r="G121" i="5"/>
  <c r="E121" i="5"/>
  <c r="I120" i="5"/>
  <c r="K120" i="5" s="1"/>
  <c r="I119" i="5"/>
  <c r="K119" i="5" s="1"/>
  <c r="I118" i="5"/>
  <c r="K118" i="5" s="1"/>
  <c r="I117" i="5"/>
  <c r="K117" i="5" s="1"/>
  <c r="I116" i="5"/>
  <c r="G115" i="5"/>
  <c r="E115" i="5"/>
  <c r="I114" i="5"/>
  <c r="K114" i="5" s="1"/>
  <c r="I113" i="5"/>
  <c r="K113" i="5" s="1"/>
  <c r="G112" i="5"/>
  <c r="E112" i="5"/>
  <c r="I111" i="5"/>
  <c r="K111" i="5" s="1"/>
  <c r="I110" i="5"/>
  <c r="K110" i="5" s="1"/>
  <c r="I109" i="5"/>
  <c r="K109" i="5" s="1"/>
  <c r="I108" i="5"/>
  <c r="K108" i="5" s="1"/>
  <c r="G107" i="5"/>
  <c r="E107" i="5"/>
  <c r="I106" i="5"/>
  <c r="K106" i="5" s="1"/>
  <c r="K107" i="5" s="1"/>
  <c r="G105" i="5"/>
  <c r="E105" i="5"/>
  <c r="I104" i="5"/>
  <c r="K104" i="5" s="1"/>
  <c r="I103" i="5"/>
  <c r="K103" i="5" s="1"/>
  <c r="K102" i="5"/>
  <c r="I102" i="5"/>
  <c r="I101" i="5"/>
  <c r="K101" i="5" s="1"/>
  <c r="I100" i="5"/>
  <c r="G99" i="5"/>
  <c r="E99" i="5"/>
  <c r="I98" i="5"/>
  <c r="K98" i="5" s="1"/>
  <c r="K97" i="5"/>
  <c r="I97" i="5"/>
  <c r="G96" i="5"/>
  <c r="E96" i="5"/>
  <c r="I95" i="5"/>
  <c r="K95" i="5" s="1"/>
  <c r="I94" i="5"/>
  <c r="K94" i="5" s="1"/>
  <c r="G93" i="5"/>
  <c r="E93" i="5"/>
  <c r="K92" i="5"/>
  <c r="I92" i="5"/>
  <c r="I91" i="5"/>
  <c r="K91" i="5" s="1"/>
  <c r="I90" i="5"/>
  <c r="K90" i="5" s="1"/>
  <c r="I89" i="5"/>
  <c r="L87" i="5"/>
  <c r="J87" i="5"/>
  <c r="H87" i="5"/>
  <c r="F87" i="5"/>
  <c r="L85" i="5"/>
  <c r="J85" i="5"/>
  <c r="H85" i="5"/>
  <c r="G85" i="5"/>
  <c r="I85" i="5" s="1"/>
  <c r="K85" i="5" s="1"/>
  <c r="E85" i="5"/>
  <c r="G78" i="5"/>
  <c r="G81" i="5" s="1"/>
  <c r="E78" i="5"/>
  <c r="E81" i="5" s="1"/>
  <c r="K77" i="5"/>
  <c r="I77" i="5"/>
  <c r="G77" i="5"/>
  <c r="E77" i="5"/>
  <c r="C77" i="5"/>
  <c r="A77" i="5"/>
  <c r="I76" i="5"/>
  <c r="K76" i="5" s="1"/>
  <c r="L76" i="5" s="1"/>
  <c r="H76" i="5"/>
  <c r="F76" i="5"/>
  <c r="D76" i="5"/>
  <c r="I75" i="5"/>
  <c r="K75" i="5" s="1"/>
  <c r="L75" i="5" s="1"/>
  <c r="H75" i="5"/>
  <c r="F75" i="5"/>
  <c r="D75" i="5"/>
  <c r="I74" i="5"/>
  <c r="K74" i="5" s="1"/>
  <c r="L74" i="5" s="1"/>
  <c r="H74" i="5"/>
  <c r="F74" i="5"/>
  <c r="D74" i="5"/>
  <c r="I73" i="5"/>
  <c r="J73" i="5" s="1"/>
  <c r="H73" i="5"/>
  <c r="F73" i="5"/>
  <c r="D73" i="5"/>
  <c r="I72" i="5"/>
  <c r="K72" i="5" s="1"/>
  <c r="L72" i="5" s="1"/>
  <c r="H72" i="5"/>
  <c r="F72" i="5"/>
  <c r="D72" i="5"/>
  <c r="I71" i="5"/>
  <c r="J71" i="5" s="1"/>
  <c r="H71" i="5"/>
  <c r="F71" i="5"/>
  <c r="D71" i="5"/>
  <c r="K70" i="5"/>
  <c r="L70" i="5" s="1"/>
  <c r="J70" i="5"/>
  <c r="I70" i="5"/>
  <c r="H70" i="5"/>
  <c r="F70" i="5"/>
  <c r="D70" i="5"/>
  <c r="I69" i="5"/>
  <c r="K69" i="5" s="1"/>
  <c r="L69" i="5" s="1"/>
  <c r="H69" i="5"/>
  <c r="F69" i="5"/>
  <c r="D69" i="5"/>
  <c r="I68" i="5"/>
  <c r="K68" i="5" s="1"/>
  <c r="L68" i="5" s="1"/>
  <c r="H68" i="5"/>
  <c r="F68" i="5"/>
  <c r="D68" i="5"/>
  <c r="I67" i="5"/>
  <c r="K67" i="5" s="1"/>
  <c r="L67" i="5" s="1"/>
  <c r="H67" i="5"/>
  <c r="F67" i="5"/>
  <c r="D67" i="5"/>
  <c r="I66" i="5"/>
  <c r="K66" i="5" s="1"/>
  <c r="L66" i="5" s="1"/>
  <c r="H66" i="5"/>
  <c r="F66" i="5"/>
  <c r="D66" i="5"/>
  <c r="I65" i="5"/>
  <c r="J65" i="5" s="1"/>
  <c r="H65" i="5"/>
  <c r="F65" i="5"/>
  <c r="D65" i="5"/>
  <c r="I64" i="5"/>
  <c r="J64" i="5" s="1"/>
  <c r="H64" i="5"/>
  <c r="F64" i="5"/>
  <c r="D64" i="5"/>
  <c r="K63" i="5"/>
  <c r="L63" i="5" s="1"/>
  <c r="I63" i="5"/>
  <c r="J63" i="5" s="1"/>
  <c r="H63" i="5"/>
  <c r="F63" i="5"/>
  <c r="D63" i="5"/>
  <c r="I62" i="5"/>
  <c r="J62" i="5" s="1"/>
  <c r="H62" i="5"/>
  <c r="F62" i="5"/>
  <c r="D62" i="5"/>
  <c r="I61" i="5"/>
  <c r="K61" i="5" s="1"/>
  <c r="L61" i="5" s="1"/>
  <c r="H61" i="5"/>
  <c r="F61" i="5"/>
  <c r="D61" i="5"/>
  <c r="I60" i="5"/>
  <c r="K60" i="5" s="1"/>
  <c r="L60" i="5" s="1"/>
  <c r="H60" i="5"/>
  <c r="F60" i="5"/>
  <c r="D60" i="5"/>
  <c r="I59" i="5"/>
  <c r="K59" i="5" s="1"/>
  <c r="L59" i="5" s="1"/>
  <c r="H59" i="5"/>
  <c r="F59" i="5"/>
  <c r="D59" i="5"/>
  <c r="I58" i="5"/>
  <c r="K58" i="5" s="1"/>
  <c r="H58" i="5"/>
  <c r="F58" i="5"/>
  <c r="D58" i="5"/>
  <c r="F85" i="5" s="1"/>
  <c r="I57" i="5"/>
  <c r="K57" i="5" s="1"/>
  <c r="H57" i="5"/>
  <c r="F57" i="5"/>
  <c r="D57" i="5"/>
  <c r="L56" i="5"/>
  <c r="J56" i="5"/>
  <c r="H56" i="5"/>
  <c r="F56" i="5"/>
  <c r="C56" i="5"/>
  <c r="A56" i="5"/>
  <c r="G42" i="5"/>
  <c r="H42" i="5" s="1"/>
  <c r="E42" i="5"/>
  <c r="F42" i="5" s="1"/>
  <c r="D42" i="5"/>
  <c r="G41" i="5"/>
  <c r="H41" i="5" s="1"/>
  <c r="E41" i="5"/>
  <c r="F41" i="5" s="1"/>
  <c r="D41" i="5"/>
  <c r="G40" i="5"/>
  <c r="H40" i="5" s="1"/>
  <c r="E40" i="5"/>
  <c r="F40" i="5" s="1"/>
  <c r="D40" i="5"/>
  <c r="G39" i="5"/>
  <c r="H39" i="5" s="1"/>
  <c r="E39" i="5"/>
  <c r="F39" i="5" s="1"/>
  <c r="D39" i="5"/>
  <c r="G38" i="5"/>
  <c r="H38" i="5" s="1"/>
  <c r="E38" i="5"/>
  <c r="F38" i="5" s="1"/>
  <c r="D38" i="5"/>
  <c r="H37" i="5"/>
  <c r="G37" i="5"/>
  <c r="E37" i="5"/>
  <c r="F37" i="5" s="1"/>
  <c r="D37" i="5"/>
  <c r="G36" i="5"/>
  <c r="H36" i="5" s="1"/>
  <c r="E36" i="5"/>
  <c r="F36" i="5" s="1"/>
  <c r="D36" i="5"/>
  <c r="G35" i="5"/>
  <c r="H35" i="5" s="1"/>
  <c r="E35" i="5"/>
  <c r="F35" i="5" s="1"/>
  <c r="D35" i="5"/>
  <c r="G34" i="5"/>
  <c r="H34" i="5" s="1"/>
  <c r="E34" i="5"/>
  <c r="F34" i="5" s="1"/>
  <c r="D34" i="5"/>
  <c r="G33" i="5"/>
  <c r="H33" i="5" s="1"/>
  <c r="E33" i="5"/>
  <c r="F33" i="5" s="1"/>
  <c r="D33" i="5"/>
  <c r="G32" i="5"/>
  <c r="H32" i="5" s="1"/>
  <c r="E32" i="5"/>
  <c r="F32" i="5" s="1"/>
  <c r="D32" i="5"/>
  <c r="G31" i="5"/>
  <c r="H31" i="5" s="1"/>
  <c r="E31" i="5"/>
  <c r="F31" i="5" s="1"/>
  <c r="D31" i="5"/>
  <c r="G30" i="5"/>
  <c r="H30" i="5" s="1"/>
  <c r="E30" i="5"/>
  <c r="F30" i="5" s="1"/>
  <c r="D30" i="5"/>
  <c r="G29" i="5"/>
  <c r="H29" i="5" s="1"/>
  <c r="E29" i="5"/>
  <c r="F29" i="5" s="1"/>
  <c r="D29" i="5"/>
  <c r="H28" i="5"/>
  <c r="G28" i="5"/>
  <c r="E28" i="5"/>
  <c r="F28" i="5" s="1"/>
  <c r="D28" i="5"/>
  <c r="C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3" i="5"/>
  <c r="E13" i="5"/>
  <c r="C13" i="5"/>
  <c r="H12" i="5"/>
  <c r="F12" i="5"/>
  <c r="D12" i="5"/>
  <c r="H11" i="5"/>
  <c r="F11" i="5"/>
  <c r="D11" i="5"/>
  <c r="B53" i="4"/>
  <c r="A53" i="4" s="1"/>
  <c r="F53" i="4" s="1"/>
  <c r="G53" i="4" s="1"/>
  <c r="B52" i="4"/>
  <c r="A52" i="4" s="1"/>
  <c r="F52" i="4" s="1"/>
  <c r="G52" i="4" s="1"/>
  <c r="B51" i="4"/>
  <c r="A51" i="4" s="1"/>
  <c r="F51" i="4" s="1"/>
  <c r="C38" i="4"/>
  <c r="H32" i="4"/>
  <c r="C29" i="4"/>
  <c r="C28" i="4"/>
  <c r="C27" i="4"/>
  <c r="C26" i="4"/>
  <c r="C25" i="4"/>
  <c r="C24" i="4"/>
  <c r="C22" i="4"/>
  <c r="C21" i="4"/>
  <c r="C20" i="4"/>
  <c r="H17" i="4"/>
  <c r="H37" i="4" s="1"/>
  <c r="H15" i="4"/>
  <c r="J10" i="4"/>
  <c r="G10" i="4"/>
  <c r="E10" i="4"/>
  <c r="E13" i="4" s="1"/>
  <c r="A10" i="4"/>
  <c r="C47" i="4" s="1"/>
  <c r="K9" i="4"/>
  <c r="I9" i="4"/>
  <c r="F9" i="4"/>
  <c r="D9" i="4"/>
  <c r="D10" i="4" s="1"/>
  <c r="I99" i="5" l="1"/>
  <c r="I93" i="5"/>
  <c r="K62" i="5"/>
  <c r="L62" i="5" s="1"/>
  <c r="D77" i="5"/>
  <c r="H77" i="5" s="1"/>
  <c r="K112" i="5"/>
  <c r="K115" i="5"/>
  <c r="I105" i="5"/>
  <c r="I121" i="5"/>
  <c r="K99" i="5"/>
  <c r="I126" i="5"/>
  <c r="I115" i="5"/>
  <c r="J59" i="5"/>
  <c r="K65" i="5"/>
  <c r="L65" i="5" s="1"/>
  <c r="J67" i="5"/>
  <c r="K64" i="5"/>
  <c r="L64" i="5" s="1"/>
  <c r="J72" i="5"/>
  <c r="J75" i="5"/>
  <c r="K73" i="5"/>
  <c r="L73" i="5" s="1"/>
  <c r="K71" i="5"/>
  <c r="L71" i="5" s="1"/>
  <c r="C25" i="5"/>
  <c r="E23" i="5"/>
  <c r="E25" i="5" s="1"/>
  <c r="G23" i="5"/>
  <c r="G25" i="5" s="1"/>
  <c r="J13" i="4"/>
  <c r="H34" i="4"/>
  <c r="G13" i="4"/>
  <c r="C48" i="4"/>
  <c r="G82" i="5"/>
  <c r="G84" i="5" s="1"/>
  <c r="G87" i="5" s="1"/>
  <c r="K96" i="5"/>
  <c r="C43" i="5"/>
  <c r="B158" i="5"/>
  <c r="L58" i="5"/>
  <c r="K78" i="5"/>
  <c r="K81" i="5" s="1"/>
  <c r="J77" i="5"/>
  <c r="E82" i="5"/>
  <c r="E84" i="5" s="1"/>
  <c r="E87" i="5" s="1"/>
  <c r="F126" i="5" s="1"/>
  <c r="J61" i="5"/>
  <c r="J69" i="5"/>
  <c r="I96" i="5"/>
  <c r="I107" i="5"/>
  <c r="I112" i="5"/>
  <c r="E129" i="5"/>
  <c r="J60" i="5"/>
  <c r="J68" i="5"/>
  <c r="J76" i="5"/>
  <c r="I78" i="5"/>
  <c r="I81" i="5" s="1"/>
  <c r="K89" i="5"/>
  <c r="K93" i="5" s="1"/>
  <c r="K100" i="5"/>
  <c r="K105" i="5" s="1"/>
  <c r="K116" i="5"/>
  <c r="K121" i="5" s="1"/>
  <c r="G129" i="5"/>
  <c r="J66" i="5"/>
  <c r="K122" i="5"/>
  <c r="K126" i="5" s="1"/>
  <c r="J58" i="5"/>
  <c r="J74" i="5"/>
  <c r="J57" i="5"/>
  <c r="L57" i="5"/>
  <c r="H48" i="4"/>
  <c r="H46" i="4"/>
  <c r="H47" i="4"/>
  <c r="G14" i="4"/>
  <c r="G15" i="4" s="1"/>
  <c r="G17" i="4" s="1"/>
  <c r="J14" i="4"/>
  <c r="J15" i="4" s="1"/>
  <c r="J17" i="4" s="1"/>
  <c r="D46" i="4"/>
  <c r="C10" i="4"/>
  <c r="K10" i="4" s="1"/>
  <c r="D48" i="4"/>
  <c r="D47" i="4"/>
  <c r="H35" i="4"/>
  <c r="E14" i="4"/>
  <c r="E15" i="4" s="1"/>
  <c r="E17" i="4" s="1"/>
  <c r="G51" i="4"/>
  <c r="E38" i="4"/>
  <c r="G30" i="4"/>
  <c r="E30" i="4"/>
  <c r="C46" i="4"/>
  <c r="K48" i="3"/>
  <c r="K47" i="3"/>
  <c r="K46" i="3"/>
  <c r="I48" i="3"/>
  <c r="I47" i="3"/>
  <c r="I46" i="3"/>
  <c r="F48" i="3"/>
  <c r="F47" i="3"/>
  <c r="F46" i="3"/>
  <c r="F77" i="5" l="1"/>
  <c r="L77" i="5"/>
  <c r="E43" i="5"/>
  <c r="B142" i="5" s="1"/>
  <c r="B159" i="5"/>
  <c r="B160" i="5"/>
  <c r="G43" i="5"/>
  <c r="C160" i="5" s="1"/>
  <c r="H121" i="5"/>
  <c r="H96" i="5"/>
  <c r="H126" i="5"/>
  <c r="H105" i="5"/>
  <c r="H112" i="5"/>
  <c r="H127" i="5"/>
  <c r="H107" i="5"/>
  <c r="G134" i="5"/>
  <c r="H99" i="5"/>
  <c r="H93" i="5"/>
  <c r="H115" i="5"/>
  <c r="K129" i="5"/>
  <c r="F112" i="5"/>
  <c r="F107" i="5"/>
  <c r="F96" i="5"/>
  <c r="F127" i="5"/>
  <c r="E134" i="5"/>
  <c r="D43" i="5"/>
  <c r="B141" i="5"/>
  <c r="C158" i="5"/>
  <c r="D158" i="5" s="1"/>
  <c r="F115" i="5"/>
  <c r="F121" i="5"/>
  <c r="K82" i="5"/>
  <c r="K84" i="5" s="1"/>
  <c r="K87" i="5" s="1"/>
  <c r="I82" i="5"/>
  <c r="I84" i="5" s="1"/>
  <c r="I87" i="5" s="1"/>
  <c r="F105" i="5"/>
  <c r="F99" i="5"/>
  <c r="I129" i="5"/>
  <c r="G132" i="5"/>
  <c r="H129" i="5"/>
  <c r="G131" i="5"/>
  <c r="E132" i="5"/>
  <c r="E131" i="5"/>
  <c r="F129" i="5"/>
  <c r="F93" i="5"/>
  <c r="K47" i="4"/>
  <c r="K46" i="4"/>
  <c r="K25" i="4"/>
  <c r="K48" i="4"/>
  <c r="K28" i="4"/>
  <c r="K26" i="4"/>
  <c r="K24" i="4"/>
  <c r="K22" i="4"/>
  <c r="K20" i="4"/>
  <c r="K27" i="4"/>
  <c r="J23" i="4"/>
  <c r="J32" i="4" s="1"/>
  <c r="K29" i="4"/>
  <c r="K21" i="4"/>
  <c r="I48" i="4"/>
  <c r="I25" i="4"/>
  <c r="I47" i="4"/>
  <c r="I27" i="4"/>
  <c r="I21" i="4"/>
  <c r="I46" i="4"/>
  <c r="I28" i="4"/>
  <c r="I26" i="4"/>
  <c r="I24" i="4"/>
  <c r="I22" i="4"/>
  <c r="I20" i="4"/>
  <c r="I29" i="4"/>
  <c r="G23" i="4"/>
  <c r="G32" i="4" s="1"/>
  <c r="F30" i="4"/>
  <c r="F10" i="4"/>
  <c r="I10" i="4"/>
  <c r="H10" i="4"/>
  <c r="J38" i="4"/>
  <c r="H38" i="4"/>
  <c r="H39" i="4" s="1"/>
  <c r="H40" i="4" s="1"/>
  <c r="G38" i="4"/>
  <c r="F29" i="4"/>
  <c r="F27" i="4"/>
  <c r="F25" i="4"/>
  <c r="E23" i="4"/>
  <c r="F21" i="4"/>
  <c r="F48" i="4"/>
  <c r="F28" i="4"/>
  <c r="F26" i="4"/>
  <c r="F22" i="4"/>
  <c r="F47" i="4"/>
  <c r="F24" i="4"/>
  <c r="F20" i="4"/>
  <c r="F46" i="4"/>
  <c r="K30" i="4"/>
  <c r="I30" i="4"/>
  <c r="K25" i="3"/>
  <c r="K26" i="3"/>
  <c r="K27" i="3"/>
  <c r="K28" i="3"/>
  <c r="K29" i="3"/>
  <c r="K30" i="3"/>
  <c r="K24" i="3"/>
  <c r="K21" i="3"/>
  <c r="K22" i="3"/>
  <c r="K20" i="3"/>
  <c r="I25" i="3"/>
  <c r="I26" i="3"/>
  <c r="I27" i="3"/>
  <c r="I28" i="3"/>
  <c r="I29" i="3"/>
  <c r="I30" i="3"/>
  <c r="I24" i="3"/>
  <c r="I21" i="3"/>
  <c r="I22" i="3"/>
  <c r="I20" i="3"/>
  <c r="F25" i="3"/>
  <c r="F26" i="3"/>
  <c r="F27" i="3"/>
  <c r="F28" i="3"/>
  <c r="F29" i="3"/>
  <c r="F30" i="3"/>
  <c r="F24" i="3"/>
  <c r="F21" i="3"/>
  <c r="F22" i="3"/>
  <c r="F20" i="3"/>
  <c r="E30" i="3"/>
  <c r="K9" i="3"/>
  <c r="G10" i="3"/>
  <c r="G13" i="3" s="1"/>
  <c r="I9" i="3"/>
  <c r="F9" i="3"/>
  <c r="B53" i="3"/>
  <c r="A53" i="3" s="1"/>
  <c r="F53" i="3" s="1"/>
  <c r="G53" i="3" s="1"/>
  <c r="B52" i="3"/>
  <c r="A52" i="3" s="1"/>
  <c r="F52" i="3" s="1"/>
  <c r="G52" i="3" s="1"/>
  <c r="B51" i="3"/>
  <c r="A51" i="3" s="1"/>
  <c r="F51" i="3" s="1"/>
  <c r="C38" i="3"/>
  <c r="H32" i="3"/>
  <c r="C29" i="3"/>
  <c r="C28" i="3"/>
  <c r="C27" i="3"/>
  <c r="C26" i="3"/>
  <c r="C25" i="3"/>
  <c r="C24" i="3"/>
  <c r="C22" i="3"/>
  <c r="C21" i="3"/>
  <c r="C20" i="3"/>
  <c r="H15" i="3"/>
  <c r="H17" i="3" s="1"/>
  <c r="J10" i="3"/>
  <c r="J13" i="3" s="1"/>
  <c r="E10" i="3"/>
  <c r="E13" i="3" s="1"/>
  <c r="E14" i="3" s="1"/>
  <c r="A10" i="3"/>
  <c r="J30" i="3" s="1"/>
  <c r="D9" i="3"/>
  <c r="D10" i="3" s="1"/>
  <c r="H43" i="5" l="1"/>
  <c r="F43" i="5"/>
  <c r="C159" i="5"/>
  <c r="D159" i="5" s="1"/>
  <c r="B143" i="5"/>
  <c r="E143" i="5" s="1"/>
  <c r="D160" i="5"/>
  <c r="K134" i="5"/>
  <c r="L112" i="5"/>
  <c r="L99" i="5"/>
  <c r="L127" i="5"/>
  <c r="L107" i="5"/>
  <c r="L115" i="5"/>
  <c r="L105" i="5"/>
  <c r="L126" i="5"/>
  <c r="L93" i="5"/>
  <c r="L121" i="5"/>
  <c r="L96" i="5"/>
  <c r="J127" i="5"/>
  <c r="I134" i="5"/>
  <c r="J105" i="5"/>
  <c r="J99" i="5"/>
  <c r="J115" i="5"/>
  <c r="J126" i="5"/>
  <c r="J93" i="5"/>
  <c r="J121" i="5"/>
  <c r="J107" i="5"/>
  <c r="J112" i="5"/>
  <c r="J96" i="5"/>
  <c r="A147" i="5"/>
  <c r="D142" i="5"/>
  <c r="D137" i="5"/>
  <c r="E142" i="5"/>
  <c r="C142" i="5"/>
  <c r="G142" i="5"/>
  <c r="E141" i="5"/>
  <c r="D136" i="5"/>
  <c r="D141" i="5"/>
  <c r="C141" i="5"/>
  <c r="A146" i="5"/>
  <c r="G141" i="5"/>
  <c r="H142" i="5"/>
  <c r="H141" i="5"/>
  <c r="J129" i="5"/>
  <c r="I132" i="5"/>
  <c r="I131" i="5"/>
  <c r="B154" i="5"/>
  <c r="F141" i="5"/>
  <c r="B153" i="5"/>
  <c r="B152" i="5"/>
  <c r="F142" i="5"/>
  <c r="K131" i="5"/>
  <c r="K132" i="5"/>
  <c r="L129" i="5"/>
  <c r="G34" i="4"/>
  <c r="G35" i="4"/>
  <c r="I32" i="4"/>
  <c r="C23" i="4"/>
  <c r="E32" i="4"/>
  <c r="J35" i="4"/>
  <c r="K32" i="4"/>
  <c r="J34" i="4"/>
  <c r="G37" i="4"/>
  <c r="J37" i="4"/>
  <c r="I10" i="3"/>
  <c r="H34" i="3"/>
  <c r="H37" i="3"/>
  <c r="H47" i="3" s="1"/>
  <c r="E15" i="3"/>
  <c r="E17" i="3" s="1"/>
  <c r="D46" i="3"/>
  <c r="D47" i="3"/>
  <c r="D48" i="3"/>
  <c r="C10" i="3"/>
  <c r="E38" i="3"/>
  <c r="G51" i="3"/>
  <c r="H35" i="3"/>
  <c r="J14" i="3"/>
  <c r="J15" i="3" s="1"/>
  <c r="J17" i="3" s="1"/>
  <c r="J23" i="3" s="1"/>
  <c r="C48" i="3"/>
  <c r="C47" i="3"/>
  <c r="G30" i="3"/>
  <c r="C46" i="3"/>
  <c r="G143" i="5" l="1"/>
  <c r="H143" i="5"/>
  <c r="D138" i="5"/>
  <c r="A148" i="5"/>
  <c r="C148" i="5" s="1"/>
  <c r="B148" i="5" s="1"/>
  <c r="F143" i="5"/>
  <c r="C143" i="5"/>
  <c r="D143" i="5"/>
  <c r="C146" i="5"/>
  <c r="B146" i="5" s="1"/>
  <c r="I160" i="5"/>
  <c r="I159" i="5"/>
  <c r="I158" i="5"/>
  <c r="L143" i="5"/>
  <c r="L142" i="5"/>
  <c r="L141" i="5"/>
  <c r="C147" i="5"/>
  <c r="B147" i="5" s="1"/>
  <c r="J143" i="5"/>
  <c r="J142" i="5"/>
  <c r="J141" i="5"/>
  <c r="E34" i="4"/>
  <c r="E35" i="4"/>
  <c r="F32" i="4"/>
  <c r="E37" i="4"/>
  <c r="J48" i="4"/>
  <c r="J47" i="4"/>
  <c r="J46" i="4"/>
  <c r="J39" i="4"/>
  <c r="I51" i="4"/>
  <c r="G39" i="4"/>
  <c r="I52" i="4"/>
  <c r="G47" i="4"/>
  <c r="G46" i="4"/>
  <c r="G48" i="4"/>
  <c r="I53" i="4"/>
  <c r="H10" i="3"/>
  <c r="F10" i="3"/>
  <c r="K10" i="3"/>
  <c r="H46" i="3"/>
  <c r="H48" i="3"/>
  <c r="J32" i="3"/>
  <c r="J37" i="3" s="1"/>
  <c r="E23" i="3"/>
  <c r="J38" i="3"/>
  <c r="H38" i="3"/>
  <c r="H39" i="3" s="1"/>
  <c r="H40" i="3" s="1"/>
  <c r="G38" i="3"/>
  <c r="H148" i="5" l="1"/>
  <c r="I148" i="5" s="1"/>
  <c r="E148" i="5"/>
  <c r="F160" i="5"/>
  <c r="H147" i="5"/>
  <c r="I147" i="5" s="1"/>
  <c r="E147" i="5"/>
  <c r="F159" i="5"/>
  <c r="H146" i="5"/>
  <c r="I146" i="5" s="1"/>
  <c r="E146" i="5"/>
  <c r="F158" i="5"/>
  <c r="J40" i="4"/>
  <c r="J42" i="4"/>
  <c r="J43" i="4" s="1"/>
  <c r="E39" i="4"/>
  <c r="H51" i="4"/>
  <c r="E48" i="4"/>
  <c r="E47" i="4"/>
  <c r="E46" i="4"/>
  <c r="G40" i="4"/>
  <c r="G42" i="4"/>
  <c r="G43" i="4" s="1"/>
  <c r="J48" i="3"/>
  <c r="J46" i="3"/>
  <c r="J39" i="3"/>
  <c r="J47" i="3"/>
  <c r="E32" i="3"/>
  <c r="C23" i="3"/>
  <c r="J35" i="3"/>
  <c r="K32" i="3"/>
  <c r="J34" i="3"/>
  <c r="J146" i="5" l="1"/>
  <c r="E136" i="5"/>
  <c r="F136" i="5" s="1"/>
  <c r="G136" i="5"/>
  <c r="H136" i="5" s="1"/>
  <c r="K136" i="5"/>
  <c r="I136" i="5"/>
  <c r="J136" i="5" s="1"/>
  <c r="G137" i="5"/>
  <c r="H137" i="5" s="1"/>
  <c r="E137" i="5"/>
  <c r="F137" i="5" s="1"/>
  <c r="J147" i="5"/>
  <c r="I137" i="5"/>
  <c r="J137" i="5" s="1"/>
  <c r="K137" i="5"/>
  <c r="E138" i="5"/>
  <c r="F138" i="5" s="1"/>
  <c r="G138" i="5"/>
  <c r="H138" i="5" s="1"/>
  <c r="J148" i="5"/>
  <c r="I138" i="5"/>
  <c r="J138" i="5" s="1"/>
  <c r="K138" i="5"/>
  <c r="E40" i="4"/>
  <c r="E42" i="4"/>
  <c r="E43" i="4" s="1"/>
  <c r="E34" i="3"/>
  <c r="E35" i="3"/>
  <c r="F32" i="3"/>
  <c r="E37" i="3"/>
  <c r="J40" i="3"/>
  <c r="J42" i="3"/>
  <c r="J43" i="3" s="1"/>
  <c r="G160" i="5" l="1"/>
  <c r="E160" i="5"/>
  <c r="L138" i="5"/>
  <c r="G158" i="5"/>
  <c r="L136" i="5"/>
  <c r="E158" i="5"/>
  <c r="L137" i="5"/>
  <c r="G159" i="5"/>
  <c r="E159" i="5"/>
  <c r="E46" i="3"/>
  <c r="E39" i="3"/>
  <c r="E47" i="3"/>
  <c r="H51" i="3"/>
  <c r="E48" i="3"/>
  <c r="E42" i="3" l="1"/>
  <c r="E43" i="3" s="1"/>
  <c r="E40" i="3"/>
  <c r="F85" i="1" l="1"/>
  <c r="C8" i="2"/>
  <c r="D34" i="2" s="1"/>
  <c r="C7" i="2"/>
  <c r="D58" i="2"/>
  <c r="F58" i="2"/>
  <c r="H58" i="2"/>
  <c r="I58" i="2"/>
  <c r="J58" i="2" s="1"/>
  <c r="C163" i="2"/>
  <c r="C162" i="2"/>
  <c r="A160" i="2"/>
  <c r="A159" i="2"/>
  <c r="A158" i="2"/>
  <c r="A143" i="2"/>
  <c r="A142" i="2"/>
  <c r="A141" i="2"/>
  <c r="C140" i="2"/>
  <c r="D131" i="2"/>
  <c r="I127" i="2"/>
  <c r="K127" i="2" s="1"/>
  <c r="G126" i="2"/>
  <c r="E126" i="2"/>
  <c r="I125" i="2"/>
  <c r="K125" i="2" s="1"/>
  <c r="I124" i="2"/>
  <c r="K124" i="2" s="1"/>
  <c r="I123" i="2"/>
  <c r="K123" i="2" s="1"/>
  <c r="I122" i="2"/>
  <c r="K122" i="2" s="1"/>
  <c r="G121" i="2"/>
  <c r="E121" i="2"/>
  <c r="I120" i="2"/>
  <c r="K120" i="2" s="1"/>
  <c r="I119" i="2"/>
  <c r="K119" i="2" s="1"/>
  <c r="I118" i="2"/>
  <c r="K118" i="2" s="1"/>
  <c r="I117" i="2"/>
  <c r="K117" i="2" s="1"/>
  <c r="I116" i="2"/>
  <c r="K116" i="2" s="1"/>
  <c r="G115" i="2"/>
  <c r="E115" i="2"/>
  <c r="I114" i="2"/>
  <c r="K114" i="2" s="1"/>
  <c r="I113" i="2"/>
  <c r="G112" i="2"/>
  <c r="E112" i="2"/>
  <c r="I111" i="2"/>
  <c r="K111" i="2" s="1"/>
  <c r="I110" i="2"/>
  <c r="K110" i="2" s="1"/>
  <c r="I109" i="2"/>
  <c r="K109" i="2" s="1"/>
  <c r="I108" i="2"/>
  <c r="K108" i="2" s="1"/>
  <c r="G107" i="2"/>
  <c r="E107" i="2"/>
  <c r="I106" i="2"/>
  <c r="K106" i="2" s="1"/>
  <c r="K107" i="2" s="1"/>
  <c r="G105" i="2"/>
  <c r="E105" i="2"/>
  <c r="I104" i="2"/>
  <c r="K104" i="2" s="1"/>
  <c r="I103" i="2"/>
  <c r="K103" i="2" s="1"/>
  <c r="I102" i="2"/>
  <c r="K102" i="2" s="1"/>
  <c r="I101" i="2"/>
  <c r="K101" i="2" s="1"/>
  <c r="I100" i="2"/>
  <c r="K100" i="2" s="1"/>
  <c r="G99" i="2"/>
  <c r="E99" i="2"/>
  <c r="I98" i="2"/>
  <c r="K98" i="2" s="1"/>
  <c r="I97" i="2"/>
  <c r="G96" i="2"/>
  <c r="E96" i="2"/>
  <c r="I95" i="2"/>
  <c r="K95" i="2" s="1"/>
  <c r="I94" i="2"/>
  <c r="G93" i="2"/>
  <c r="E93" i="2"/>
  <c r="I92" i="2"/>
  <c r="K92" i="2" s="1"/>
  <c r="I91" i="2"/>
  <c r="K91" i="2" s="1"/>
  <c r="I90" i="2"/>
  <c r="K90" i="2" s="1"/>
  <c r="I89" i="2"/>
  <c r="L87" i="2"/>
  <c r="J87" i="2"/>
  <c r="H87" i="2"/>
  <c r="F87" i="2"/>
  <c r="L85" i="2"/>
  <c r="J85" i="2"/>
  <c r="H85" i="2"/>
  <c r="G85" i="2"/>
  <c r="I85" i="2" s="1"/>
  <c r="K85" i="2" s="1"/>
  <c r="F85" i="2"/>
  <c r="G78" i="2"/>
  <c r="G81" i="2" s="1"/>
  <c r="E78" i="2"/>
  <c r="E81" i="2" s="1"/>
  <c r="K77" i="2"/>
  <c r="I77" i="2"/>
  <c r="G77" i="2"/>
  <c r="E77" i="2"/>
  <c r="C77" i="2"/>
  <c r="A77" i="2"/>
  <c r="I76" i="2"/>
  <c r="K76" i="2" s="1"/>
  <c r="L76" i="2" s="1"/>
  <c r="H76" i="2"/>
  <c r="F76" i="2"/>
  <c r="D76" i="2"/>
  <c r="I75" i="2"/>
  <c r="J75" i="2" s="1"/>
  <c r="H75" i="2"/>
  <c r="F75" i="2"/>
  <c r="D75" i="2"/>
  <c r="I74" i="2"/>
  <c r="K74" i="2" s="1"/>
  <c r="L74" i="2" s="1"/>
  <c r="H74" i="2"/>
  <c r="F74" i="2"/>
  <c r="D74" i="2"/>
  <c r="I73" i="2"/>
  <c r="K73" i="2" s="1"/>
  <c r="L73" i="2" s="1"/>
  <c r="H73" i="2"/>
  <c r="F73" i="2"/>
  <c r="D73" i="2"/>
  <c r="I72" i="2"/>
  <c r="K72" i="2" s="1"/>
  <c r="L72" i="2" s="1"/>
  <c r="H72" i="2"/>
  <c r="F72" i="2"/>
  <c r="D72" i="2"/>
  <c r="I71" i="2"/>
  <c r="J71" i="2" s="1"/>
  <c r="H71" i="2"/>
  <c r="F71" i="2"/>
  <c r="D71" i="2"/>
  <c r="I70" i="2"/>
  <c r="K70" i="2" s="1"/>
  <c r="L70" i="2" s="1"/>
  <c r="H70" i="2"/>
  <c r="F70" i="2"/>
  <c r="D70" i="2"/>
  <c r="I69" i="2"/>
  <c r="J69" i="2" s="1"/>
  <c r="H69" i="2"/>
  <c r="F69" i="2"/>
  <c r="D69" i="2"/>
  <c r="I68" i="2"/>
  <c r="K68" i="2" s="1"/>
  <c r="L68" i="2" s="1"/>
  <c r="H68" i="2"/>
  <c r="F68" i="2"/>
  <c r="D68" i="2"/>
  <c r="I67" i="2"/>
  <c r="J67" i="2" s="1"/>
  <c r="H67" i="2"/>
  <c r="F67" i="2"/>
  <c r="D67" i="2"/>
  <c r="I66" i="2"/>
  <c r="K66" i="2" s="1"/>
  <c r="L66" i="2" s="1"/>
  <c r="H66" i="2"/>
  <c r="F66" i="2"/>
  <c r="D66" i="2"/>
  <c r="I65" i="2"/>
  <c r="J65" i="2" s="1"/>
  <c r="H65" i="2"/>
  <c r="F65" i="2"/>
  <c r="D65" i="2"/>
  <c r="I64" i="2"/>
  <c r="J64" i="2" s="1"/>
  <c r="H64" i="2"/>
  <c r="F64" i="2"/>
  <c r="D64" i="2"/>
  <c r="I63" i="2"/>
  <c r="K63" i="2" s="1"/>
  <c r="L63" i="2" s="1"/>
  <c r="H63" i="2"/>
  <c r="F63" i="2"/>
  <c r="D63" i="2"/>
  <c r="I62" i="2"/>
  <c r="K62" i="2" s="1"/>
  <c r="L62" i="2" s="1"/>
  <c r="H62" i="2"/>
  <c r="F62" i="2"/>
  <c r="D62" i="2"/>
  <c r="I61" i="2"/>
  <c r="K61" i="2" s="1"/>
  <c r="L61" i="2" s="1"/>
  <c r="H61" i="2"/>
  <c r="F61" i="2"/>
  <c r="D61" i="2"/>
  <c r="I60" i="2"/>
  <c r="H60" i="2"/>
  <c r="F60" i="2"/>
  <c r="D60" i="2"/>
  <c r="I59" i="2"/>
  <c r="J59" i="2" s="1"/>
  <c r="H59" i="2"/>
  <c r="F59" i="2"/>
  <c r="D59" i="2"/>
  <c r="I57" i="2"/>
  <c r="J57" i="2" s="1"/>
  <c r="H57" i="2"/>
  <c r="F57" i="2"/>
  <c r="D57" i="2"/>
  <c r="L56" i="2"/>
  <c r="J56" i="2"/>
  <c r="H56" i="2"/>
  <c r="F56" i="2"/>
  <c r="C56" i="2"/>
  <c r="A56" i="2"/>
  <c r="G42" i="2"/>
  <c r="E42" i="2"/>
  <c r="F42" i="2" s="1"/>
  <c r="D42" i="2"/>
  <c r="G41" i="2"/>
  <c r="E41" i="2"/>
  <c r="G40" i="2"/>
  <c r="E40" i="2"/>
  <c r="D40" i="2"/>
  <c r="G39" i="2"/>
  <c r="H39" i="2" s="1"/>
  <c r="E39" i="2"/>
  <c r="G38" i="2"/>
  <c r="E38" i="2"/>
  <c r="G37" i="2"/>
  <c r="E37" i="2"/>
  <c r="F37" i="2" s="1"/>
  <c r="D37" i="2"/>
  <c r="G36" i="2"/>
  <c r="E36" i="2"/>
  <c r="G35" i="2"/>
  <c r="E35" i="2"/>
  <c r="G34" i="2"/>
  <c r="H34" i="2" s="1"/>
  <c r="E34" i="2"/>
  <c r="F34" i="2" s="1"/>
  <c r="G33" i="2"/>
  <c r="E33" i="2"/>
  <c r="G32" i="2"/>
  <c r="E32" i="2"/>
  <c r="D32" i="2"/>
  <c r="G31" i="2"/>
  <c r="H31" i="2" s="1"/>
  <c r="E31" i="2"/>
  <c r="G30" i="2"/>
  <c r="E30" i="2"/>
  <c r="G29" i="2"/>
  <c r="E29" i="2"/>
  <c r="F29" i="2" s="1"/>
  <c r="D29" i="2"/>
  <c r="G28" i="2"/>
  <c r="E28" i="2"/>
  <c r="C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3" i="2"/>
  <c r="E13" i="2"/>
  <c r="C13" i="2"/>
  <c r="F12" i="2"/>
  <c r="D12" i="2"/>
  <c r="H11" i="2"/>
  <c r="F11" i="2"/>
  <c r="D11" i="2"/>
  <c r="C163" i="1"/>
  <c r="C162" i="1"/>
  <c r="A160" i="1"/>
  <c r="A159" i="1"/>
  <c r="A158" i="1"/>
  <c r="A143" i="1"/>
  <c r="A142" i="1"/>
  <c r="A141" i="1"/>
  <c r="C140" i="1"/>
  <c r="D131" i="1"/>
  <c r="I127" i="1"/>
  <c r="K127" i="1" s="1"/>
  <c r="G126" i="1"/>
  <c r="E126" i="1"/>
  <c r="I125" i="1"/>
  <c r="K125" i="1" s="1"/>
  <c r="I124" i="1"/>
  <c r="K124" i="1" s="1"/>
  <c r="I123" i="1"/>
  <c r="K123" i="1" s="1"/>
  <c r="I122" i="1"/>
  <c r="I126" i="1" s="1"/>
  <c r="G121" i="1"/>
  <c r="E121" i="1"/>
  <c r="I120" i="1"/>
  <c r="K120" i="1" s="1"/>
  <c r="I119" i="1"/>
  <c r="K119" i="1" s="1"/>
  <c r="I118" i="1"/>
  <c r="K118" i="1" s="1"/>
  <c r="I117" i="1"/>
  <c r="K117" i="1" s="1"/>
  <c r="I116" i="1"/>
  <c r="I121" i="1" s="1"/>
  <c r="G115" i="1"/>
  <c r="E115" i="1"/>
  <c r="I114" i="1"/>
  <c r="K114" i="1" s="1"/>
  <c r="I113" i="1"/>
  <c r="I115" i="1" s="1"/>
  <c r="G112" i="1"/>
  <c r="E112" i="1"/>
  <c r="I111" i="1"/>
  <c r="K111" i="1" s="1"/>
  <c r="I110" i="1"/>
  <c r="I109" i="1"/>
  <c r="K109" i="1" s="1"/>
  <c r="I108" i="1"/>
  <c r="K108" i="1" s="1"/>
  <c r="G107" i="1"/>
  <c r="E107" i="1"/>
  <c r="I106" i="1"/>
  <c r="K106" i="1" s="1"/>
  <c r="K107" i="1" s="1"/>
  <c r="G105" i="1"/>
  <c r="E105" i="1"/>
  <c r="I104" i="1"/>
  <c r="K104" i="1" s="1"/>
  <c r="I103" i="1"/>
  <c r="K103" i="1" s="1"/>
  <c r="K102" i="1"/>
  <c r="I102" i="1"/>
  <c r="I101" i="1"/>
  <c r="K101" i="1" s="1"/>
  <c r="I100" i="1"/>
  <c r="G99" i="1"/>
  <c r="E99" i="1"/>
  <c r="I98" i="1"/>
  <c r="K98" i="1" s="1"/>
  <c r="I97" i="1"/>
  <c r="K97" i="1" s="1"/>
  <c r="G96" i="1"/>
  <c r="E96" i="1"/>
  <c r="I95" i="1"/>
  <c r="K95" i="1" s="1"/>
  <c r="I94" i="1"/>
  <c r="G93" i="1"/>
  <c r="E93" i="1"/>
  <c r="I92" i="1"/>
  <c r="K92" i="1" s="1"/>
  <c r="I91" i="1"/>
  <c r="K91" i="1" s="1"/>
  <c r="I90" i="1"/>
  <c r="K90" i="1" s="1"/>
  <c r="I89" i="1"/>
  <c r="I93" i="1" s="1"/>
  <c r="L87" i="1"/>
  <c r="J87" i="1"/>
  <c r="H87" i="1"/>
  <c r="F87" i="1"/>
  <c r="L85" i="1"/>
  <c r="J85" i="1"/>
  <c r="H85" i="1"/>
  <c r="G85" i="1"/>
  <c r="I85" i="1" s="1"/>
  <c r="K85" i="1" s="1"/>
  <c r="C85" i="1"/>
  <c r="E85" i="1" s="1"/>
  <c r="G78" i="1"/>
  <c r="G81" i="1" s="1"/>
  <c r="E78" i="1"/>
  <c r="E81" i="1" s="1"/>
  <c r="K77" i="1"/>
  <c r="I77" i="1"/>
  <c r="G77" i="1"/>
  <c r="E77" i="1"/>
  <c r="C77" i="1"/>
  <c r="A77" i="1"/>
  <c r="I76" i="1"/>
  <c r="K76" i="1" s="1"/>
  <c r="L76" i="1" s="1"/>
  <c r="H76" i="1"/>
  <c r="F76" i="1"/>
  <c r="D76" i="1"/>
  <c r="I75" i="1"/>
  <c r="K75" i="1" s="1"/>
  <c r="L75" i="1" s="1"/>
  <c r="H75" i="1"/>
  <c r="F75" i="1"/>
  <c r="D75" i="1"/>
  <c r="I74" i="1"/>
  <c r="K74" i="1" s="1"/>
  <c r="L74" i="1" s="1"/>
  <c r="H74" i="1"/>
  <c r="F74" i="1"/>
  <c r="D74" i="1"/>
  <c r="I73" i="1"/>
  <c r="K73" i="1" s="1"/>
  <c r="L73" i="1" s="1"/>
  <c r="H73" i="1"/>
  <c r="F73" i="1"/>
  <c r="D73" i="1"/>
  <c r="I72" i="1"/>
  <c r="K72" i="1" s="1"/>
  <c r="L72" i="1" s="1"/>
  <c r="H72" i="1"/>
  <c r="F72" i="1"/>
  <c r="D72" i="1"/>
  <c r="I71" i="1"/>
  <c r="K71" i="1" s="1"/>
  <c r="L71" i="1" s="1"/>
  <c r="H71" i="1"/>
  <c r="F71" i="1"/>
  <c r="D71" i="1"/>
  <c r="I70" i="1"/>
  <c r="K70" i="1" s="1"/>
  <c r="L70" i="1" s="1"/>
  <c r="H70" i="1"/>
  <c r="F70" i="1"/>
  <c r="D70" i="1"/>
  <c r="I69" i="1"/>
  <c r="J69" i="1" s="1"/>
  <c r="H69" i="1"/>
  <c r="F69" i="1"/>
  <c r="D69" i="1"/>
  <c r="I68" i="1"/>
  <c r="K68" i="1" s="1"/>
  <c r="L68" i="1" s="1"/>
  <c r="H68" i="1"/>
  <c r="F68" i="1"/>
  <c r="D68" i="1"/>
  <c r="I67" i="1"/>
  <c r="K67" i="1" s="1"/>
  <c r="L67" i="1" s="1"/>
  <c r="H67" i="1"/>
  <c r="F67" i="1"/>
  <c r="D67" i="1"/>
  <c r="I66" i="1"/>
  <c r="K66" i="1" s="1"/>
  <c r="L66" i="1" s="1"/>
  <c r="H66" i="1"/>
  <c r="F66" i="1"/>
  <c r="D66" i="1"/>
  <c r="K65" i="1"/>
  <c r="L65" i="1" s="1"/>
  <c r="J65" i="1"/>
  <c r="I65" i="1"/>
  <c r="H65" i="1"/>
  <c r="F65" i="1"/>
  <c r="D65" i="1"/>
  <c r="K64" i="1"/>
  <c r="L64" i="1" s="1"/>
  <c r="I64" i="1"/>
  <c r="J64" i="1" s="1"/>
  <c r="H64" i="1"/>
  <c r="F64" i="1"/>
  <c r="D64" i="1"/>
  <c r="I63" i="1"/>
  <c r="K63" i="1" s="1"/>
  <c r="L63" i="1" s="1"/>
  <c r="H63" i="1"/>
  <c r="F63" i="1"/>
  <c r="D63" i="1"/>
  <c r="I62" i="1"/>
  <c r="K62" i="1" s="1"/>
  <c r="L62" i="1" s="1"/>
  <c r="H62" i="1"/>
  <c r="F62" i="1"/>
  <c r="D62" i="1"/>
  <c r="I61" i="1"/>
  <c r="J61" i="1" s="1"/>
  <c r="H61" i="1"/>
  <c r="F61" i="1"/>
  <c r="D61" i="1"/>
  <c r="I60" i="1"/>
  <c r="K60" i="1" s="1"/>
  <c r="L60" i="1" s="1"/>
  <c r="H60" i="1"/>
  <c r="F60" i="1"/>
  <c r="D60" i="1"/>
  <c r="J59" i="1"/>
  <c r="I59" i="1"/>
  <c r="K59" i="1" s="1"/>
  <c r="L59" i="1" s="1"/>
  <c r="H59" i="1"/>
  <c r="F59" i="1"/>
  <c r="D59" i="1"/>
  <c r="I58" i="1"/>
  <c r="K58" i="1" s="1"/>
  <c r="L58" i="1" s="1"/>
  <c r="H58" i="1"/>
  <c r="F58" i="1"/>
  <c r="D58" i="1"/>
  <c r="I57" i="1"/>
  <c r="K57" i="1" s="1"/>
  <c r="L57" i="1" s="1"/>
  <c r="H57" i="1"/>
  <c r="F57" i="1"/>
  <c r="D57" i="1"/>
  <c r="L56" i="1"/>
  <c r="J56" i="1"/>
  <c r="H56" i="1"/>
  <c r="F56" i="1"/>
  <c r="C56" i="1"/>
  <c r="A56" i="1"/>
  <c r="G42" i="1"/>
  <c r="H42" i="1" s="1"/>
  <c r="E42" i="1"/>
  <c r="F42" i="1" s="1"/>
  <c r="D42" i="1"/>
  <c r="H41" i="1"/>
  <c r="G41" i="1"/>
  <c r="E41" i="1"/>
  <c r="F41" i="1" s="1"/>
  <c r="D41" i="1"/>
  <c r="G40" i="1"/>
  <c r="H40" i="1" s="1"/>
  <c r="E40" i="1"/>
  <c r="F40" i="1" s="1"/>
  <c r="D40" i="1"/>
  <c r="G39" i="1"/>
  <c r="H39" i="1" s="1"/>
  <c r="E39" i="1"/>
  <c r="F39" i="1" s="1"/>
  <c r="D39" i="1"/>
  <c r="G38" i="1"/>
  <c r="H38" i="1" s="1"/>
  <c r="E38" i="1"/>
  <c r="F38" i="1" s="1"/>
  <c r="D38" i="1"/>
  <c r="G37" i="1"/>
  <c r="H37" i="1" s="1"/>
  <c r="E37" i="1"/>
  <c r="F37" i="1" s="1"/>
  <c r="D37" i="1"/>
  <c r="G36" i="1"/>
  <c r="H36" i="1" s="1"/>
  <c r="E36" i="1"/>
  <c r="F36" i="1" s="1"/>
  <c r="D36" i="1"/>
  <c r="G35" i="1"/>
  <c r="H35" i="1" s="1"/>
  <c r="E35" i="1"/>
  <c r="F35" i="1" s="1"/>
  <c r="D35" i="1"/>
  <c r="G34" i="1"/>
  <c r="H34" i="1" s="1"/>
  <c r="E34" i="1"/>
  <c r="F34" i="1" s="1"/>
  <c r="D34" i="1"/>
  <c r="G33" i="1"/>
  <c r="H33" i="1" s="1"/>
  <c r="E33" i="1"/>
  <c r="F33" i="1" s="1"/>
  <c r="D33" i="1"/>
  <c r="G32" i="1"/>
  <c r="H32" i="1" s="1"/>
  <c r="E32" i="1"/>
  <c r="F32" i="1" s="1"/>
  <c r="D32" i="1"/>
  <c r="G31" i="1"/>
  <c r="H31" i="1" s="1"/>
  <c r="E31" i="1"/>
  <c r="F31" i="1" s="1"/>
  <c r="D31" i="1"/>
  <c r="G30" i="1"/>
  <c r="H30" i="1" s="1"/>
  <c r="E30" i="1"/>
  <c r="F30" i="1" s="1"/>
  <c r="D30" i="1"/>
  <c r="H29" i="1"/>
  <c r="G29" i="1"/>
  <c r="E29" i="1"/>
  <c r="F29" i="1" s="1"/>
  <c r="D29" i="1"/>
  <c r="G28" i="1"/>
  <c r="H28" i="1" s="1"/>
  <c r="E28" i="1"/>
  <c r="F28" i="1" s="1"/>
  <c r="D28" i="1"/>
  <c r="C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3" i="1"/>
  <c r="E13" i="1"/>
  <c r="C13" i="1"/>
  <c r="H12" i="1"/>
  <c r="F12" i="1"/>
  <c r="D12" i="1"/>
  <c r="H11" i="1"/>
  <c r="F11" i="1"/>
  <c r="D11" i="1"/>
  <c r="K71" i="2" l="1"/>
  <c r="L71" i="2" s="1"/>
  <c r="J74" i="2"/>
  <c r="K65" i="2"/>
  <c r="L65" i="2" s="1"/>
  <c r="I96" i="1"/>
  <c r="I107" i="1"/>
  <c r="J70" i="1"/>
  <c r="K99" i="1"/>
  <c r="J63" i="1"/>
  <c r="E129" i="1"/>
  <c r="E131" i="1" s="1"/>
  <c r="E23" i="1"/>
  <c r="E25" i="1" s="1"/>
  <c r="B159" i="1" s="1"/>
  <c r="J72" i="1"/>
  <c r="J57" i="1"/>
  <c r="J62" i="1"/>
  <c r="K113" i="1"/>
  <c r="K115" i="1" s="1"/>
  <c r="J73" i="1"/>
  <c r="G23" i="1"/>
  <c r="G25" i="1" s="1"/>
  <c r="B160" i="1" s="1"/>
  <c r="J71" i="1"/>
  <c r="J75" i="1"/>
  <c r="I105" i="1"/>
  <c r="I129" i="1" s="1"/>
  <c r="I112" i="1"/>
  <c r="J67" i="1"/>
  <c r="C25" i="1"/>
  <c r="C43" i="1" s="1"/>
  <c r="D77" i="1"/>
  <c r="E132" i="1" s="1"/>
  <c r="I99" i="1"/>
  <c r="K64" i="2"/>
  <c r="L64" i="2" s="1"/>
  <c r="J66" i="2"/>
  <c r="H12" i="2"/>
  <c r="H29" i="2"/>
  <c r="F32" i="2"/>
  <c r="D35" i="2"/>
  <c r="H37" i="2"/>
  <c r="F40" i="2"/>
  <c r="H42" i="2"/>
  <c r="D30" i="2"/>
  <c r="H32" i="2"/>
  <c r="F35" i="2"/>
  <c r="D38" i="2"/>
  <c r="H40" i="2"/>
  <c r="F30" i="2"/>
  <c r="D33" i="2"/>
  <c r="H35" i="2"/>
  <c r="F38" i="2"/>
  <c r="D41" i="2"/>
  <c r="D28" i="2"/>
  <c r="H30" i="2"/>
  <c r="F33" i="2"/>
  <c r="D36" i="2"/>
  <c r="H38" i="2"/>
  <c r="F28" i="2"/>
  <c r="D31" i="2"/>
  <c r="H33" i="2"/>
  <c r="F36" i="2"/>
  <c r="D39" i="2"/>
  <c r="F41" i="2"/>
  <c r="H28" i="2"/>
  <c r="F31" i="2"/>
  <c r="H36" i="2"/>
  <c r="F39" i="2"/>
  <c r="H41" i="2"/>
  <c r="K58" i="2"/>
  <c r="L58" i="2" s="1"/>
  <c r="D77" i="2"/>
  <c r="H77" i="2" s="1"/>
  <c r="J70" i="2"/>
  <c r="I107" i="2"/>
  <c r="E85" i="2"/>
  <c r="K112" i="2"/>
  <c r="K57" i="2"/>
  <c r="L57" i="2" s="1"/>
  <c r="J72" i="2"/>
  <c r="K75" i="2"/>
  <c r="L75" i="2" s="1"/>
  <c r="K121" i="2"/>
  <c r="C25" i="2"/>
  <c r="C43" i="2" s="1"/>
  <c r="C158" i="2" s="1"/>
  <c r="K59" i="2"/>
  <c r="L59" i="2" s="1"/>
  <c r="I96" i="2"/>
  <c r="I105" i="2"/>
  <c r="E23" i="2"/>
  <c r="E25" i="2" s="1"/>
  <c r="E43" i="2" s="1"/>
  <c r="J63" i="2"/>
  <c r="K105" i="2"/>
  <c r="I115" i="2"/>
  <c r="G23" i="2"/>
  <c r="G25" i="2" s="1"/>
  <c r="B160" i="2" s="1"/>
  <c r="I112" i="2"/>
  <c r="K113" i="2"/>
  <c r="K115" i="2" s="1"/>
  <c r="I99" i="2"/>
  <c r="J62" i="2"/>
  <c r="K67" i="2"/>
  <c r="L67" i="2" s="1"/>
  <c r="J73" i="2"/>
  <c r="E129" i="2"/>
  <c r="E131" i="2" s="1"/>
  <c r="K97" i="2"/>
  <c r="K99" i="2" s="1"/>
  <c r="I121" i="2"/>
  <c r="I78" i="2"/>
  <c r="I81" i="2" s="1"/>
  <c r="I93" i="2"/>
  <c r="G129" i="2"/>
  <c r="G131" i="2" s="1"/>
  <c r="I126" i="2"/>
  <c r="K126" i="2"/>
  <c r="E82" i="2"/>
  <c r="E84" i="2" s="1"/>
  <c r="G82" i="2"/>
  <c r="G84" i="2" s="1"/>
  <c r="G87" i="2" s="1"/>
  <c r="J61" i="2"/>
  <c r="J60" i="2"/>
  <c r="J68" i="2"/>
  <c r="K69" i="2"/>
  <c r="L69" i="2" s="1"/>
  <c r="J76" i="2"/>
  <c r="K89" i="2"/>
  <c r="K93" i="2" s="1"/>
  <c r="K94" i="2"/>
  <c r="K96" i="2" s="1"/>
  <c r="K60" i="2"/>
  <c r="J77" i="1"/>
  <c r="E43" i="1"/>
  <c r="E82" i="1"/>
  <c r="E84" i="1" s="1"/>
  <c r="E87" i="1" s="1"/>
  <c r="G82" i="1"/>
  <c r="G84" i="1" s="1"/>
  <c r="G87" i="1" s="1"/>
  <c r="J60" i="1"/>
  <c r="K61" i="1"/>
  <c r="L61" i="1" s="1"/>
  <c r="J68" i="1"/>
  <c r="K69" i="1"/>
  <c r="L69" i="1" s="1"/>
  <c r="J76" i="1"/>
  <c r="I78" i="1"/>
  <c r="I81" i="1" s="1"/>
  <c r="K89" i="1"/>
  <c r="K93" i="1" s="1"/>
  <c r="K94" i="1"/>
  <c r="K96" i="1" s="1"/>
  <c r="K100" i="1"/>
  <c r="K105" i="1" s="1"/>
  <c r="K110" i="1"/>
  <c r="K112" i="1" s="1"/>
  <c r="K116" i="1"/>
  <c r="K121" i="1" s="1"/>
  <c r="G129" i="1"/>
  <c r="J58" i="1"/>
  <c r="J66" i="1"/>
  <c r="J74" i="1"/>
  <c r="K122" i="1"/>
  <c r="K126" i="1" s="1"/>
  <c r="B158" i="1" l="1"/>
  <c r="K78" i="1"/>
  <c r="K81" i="1" s="1"/>
  <c r="F105" i="1"/>
  <c r="F121" i="1"/>
  <c r="G43" i="1"/>
  <c r="B143" i="1" s="1"/>
  <c r="F77" i="1"/>
  <c r="H77" i="1"/>
  <c r="E87" i="2"/>
  <c r="F112" i="2" s="1"/>
  <c r="J77" i="2"/>
  <c r="E132" i="2"/>
  <c r="F77" i="2"/>
  <c r="G43" i="2"/>
  <c r="H43" i="2" s="1"/>
  <c r="I129" i="2"/>
  <c r="I132" i="2" s="1"/>
  <c r="K78" i="2"/>
  <c r="K81" i="2" s="1"/>
  <c r="K82" i="2" s="1"/>
  <c r="K84" i="2" s="1"/>
  <c r="K87" i="2" s="1"/>
  <c r="B141" i="2"/>
  <c r="D141" i="2" s="1"/>
  <c r="B158" i="2"/>
  <c r="D158" i="2" s="1"/>
  <c r="D43" i="2"/>
  <c r="B159" i="2"/>
  <c r="I82" i="2"/>
  <c r="I84" i="2" s="1"/>
  <c r="I87" i="2" s="1"/>
  <c r="J105" i="2" s="1"/>
  <c r="G132" i="2"/>
  <c r="H126" i="2"/>
  <c r="H121" i="2"/>
  <c r="H105" i="2"/>
  <c r="H107" i="2"/>
  <c r="H112" i="2"/>
  <c r="H96" i="2"/>
  <c r="H127" i="2"/>
  <c r="H115" i="2"/>
  <c r="H99" i="2"/>
  <c r="H93" i="2"/>
  <c r="G134" i="2"/>
  <c r="H129" i="2"/>
  <c r="K129" i="2"/>
  <c r="B142" i="2"/>
  <c r="F43" i="2"/>
  <c r="C159" i="2"/>
  <c r="L77" i="2"/>
  <c r="L60" i="2"/>
  <c r="H112" i="1"/>
  <c r="H107" i="1"/>
  <c r="H96" i="1"/>
  <c r="H126" i="1"/>
  <c r="H121" i="1"/>
  <c r="H105" i="1"/>
  <c r="H127" i="1"/>
  <c r="G134" i="1"/>
  <c r="H115" i="1"/>
  <c r="H93" i="1"/>
  <c r="H99" i="1"/>
  <c r="K82" i="1"/>
  <c r="K84" i="1" s="1"/>
  <c r="K87" i="1" s="1"/>
  <c r="L93" i="1" s="1"/>
  <c r="F93" i="1"/>
  <c r="G132" i="1"/>
  <c r="H129" i="1"/>
  <c r="G131" i="1"/>
  <c r="F112" i="1"/>
  <c r="F107" i="1"/>
  <c r="F96" i="1"/>
  <c r="F127" i="1"/>
  <c r="E134" i="1"/>
  <c r="K129" i="1"/>
  <c r="F43" i="1"/>
  <c r="B142" i="1"/>
  <c r="C159" i="1"/>
  <c r="D159" i="1" s="1"/>
  <c r="I82" i="1"/>
  <c r="I84" i="1" s="1"/>
  <c r="I87" i="1" s="1"/>
  <c r="L77" i="1"/>
  <c r="F126" i="1"/>
  <c r="D43" i="1"/>
  <c r="B141" i="1"/>
  <c r="C158" i="1"/>
  <c r="D158" i="1" s="1"/>
  <c r="F99" i="1"/>
  <c r="F129" i="1"/>
  <c r="F115" i="1"/>
  <c r="I132" i="1"/>
  <c r="I131" i="1"/>
  <c r="H43" i="1" l="1"/>
  <c r="D159" i="2"/>
  <c r="C160" i="1"/>
  <c r="D160" i="1" s="1"/>
  <c r="F107" i="2"/>
  <c r="F129" i="2"/>
  <c r="E134" i="2"/>
  <c r="B153" i="2" s="1"/>
  <c r="F115" i="2"/>
  <c r="F121" i="2"/>
  <c r="F127" i="2"/>
  <c r="F105" i="2"/>
  <c r="F126" i="2"/>
  <c r="F93" i="2"/>
  <c r="F96" i="2"/>
  <c r="F99" i="2"/>
  <c r="I131" i="2"/>
  <c r="D136" i="2"/>
  <c r="E141" i="2"/>
  <c r="G141" i="2"/>
  <c r="J112" i="2"/>
  <c r="J115" i="2"/>
  <c r="J107" i="2"/>
  <c r="J129" i="2"/>
  <c r="I134" i="2"/>
  <c r="J141" i="2" s="1"/>
  <c r="J96" i="2"/>
  <c r="J126" i="2"/>
  <c r="J93" i="2"/>
  <c r="J121" i="2"/>
  <c r="C160" i="2"/>
  <c r="D160" i="2" s="1"/>
  <c r="B143" i="2"/>
  <c r="G143" i="2" s="1"/>
  <c r="J127" i="2"/>
  <c r="C141" i="2"/>
  <c r="J99" i="2"/>
  <c r="A146" i="2"/>
  <c r="C146" i="2" s="1"/>
  <c r="B146" i="2" s="1"/>
  <c r="K134" i="2"/>
  <c r="L127" i="2"/>
  <c r="L99" i="2"/>
  <c r="L105" i="2"/>
  <c r="L115" i="2"/>
  <c r="L121" i="2"/>
  <c r="L112" i="2"/>
  <c r="L107" i="2"/>
  <c r="L93" i="2"/>
  <c r="L126" i="2"/>
  <c r="L96" i="2"/>
  <c r="H142" i="2"/>
  <c r="H141" i="2"/>
  <c r="E142" i="2"/>
  <c r="A147" i="2"/>
  <c r="D142" i="2"/>
  <c r="D137" i="2"/>
  <c r="C142" i="2"/>
  <c r="G142" i="2"/>
  <c r="L129" i="2"/>
  <c r="K131" i="2"/>
  <c r="K132" i="2"/>
  <c r="J127" i="1"/>
  <c r="I134" i="1"/>
  <c r="J126" i="1"/>
  <c r="J115" i="1"/>
  <c r="J105" i="1"/>
  <c r="J121" i="1"/>
  <c r="J93" i="1"/>
  <c r="J112" i="1"/>
  <c r="J99" i="1"/>
  <c r="J96" i="1"/>
  <c r="J107" i="1"/>
  <c r="J129" i="1"/>
  <c r="L127" i="1"/>
  <c r="K134" i="1"/>
  <c r="L115" i="1"/>
  <c r="L107" i="1"/>
  <c r="L99" i="1"/>
  <c r="L126" i="1"/>
  <c r="L121" i="1"/>
  <c r="F142" i="1"/>
  <c r="B154" i="1"/>
  <c r="F141" i="1"/>
  <c r="B153" i="1"/>
  <c r="B152" i="1"/>
  <c r="F143" i="1"/>
  <c r="L105" i="1"/>
  <c r="A146" i="1"/>
  <c r="G141" i="1"/>
  <c r="E141" i="1"/>
  <c r="D136" i="1"/>
  <c r="D141" i="1"/>
  <c r="C141" i="1"/>
  <c r="E142" i="1"/>
  <c r="A147" i="1"/>
  <c r="D142" i="1"/>
  <c r="D137" i="1"/>
  <c r="C142" i="1"/>
  <c r="G142" i="1"/>
  <c r="L96" i="1"/>
  <c r="D143" i="1"/>
  <c r="C143" i="1"/>
  <c r="D138" i="1"/>
  <c r="A148" i="1"/>
  <c r="G143" i="1"/>
  <c r="E143" i="1"/>
  <c r="K132" i="1"/>
  <c r="L129" i="1"/>
  <c r="K131" i="1"/>
  <c r="H141" i="1"/>
  <c r="H143" i="1"/>
  <c r="H142" i="1"/>
  <c r="L112" i="1"/>
  <c r="F142" i="2" l="1"/>
  <c r="F141" i="2"/>
  <c r="B152" i="2"/>
  <c r="B154" i="2"/>
  <c r="J142" i="2"/>
  <c r="J143" i="2"/>
  <c r="A148" i="2"/>
  <c r="C148" i="2" s="1"/>
  <c r="B148" i="2" s="1"/>
  <c r="E143" i="2"/>
  <c r="D138" i="2"/>
  <c r="H143" i="2"/>
  <c r="C143" i="2"/>
  <c r="F143" i="2"/>
  <c r="D143" i="2"/>
  <c r="H146" i="2"/>
  <c r="I146" i="2" s="1"/>
  <c r="K136" i="2" s="1"/>
  <c r="E146" i="2"/>
  <c r="F158" i="2"/>
  <c r="C147" i="2"/>
  <c r="B147" i="2" s="1"/>
  <c r="I160" i="2"/>
  <c r="I159" i="2"/>
  <c r="I158" i="2"/>
  <c r="L143" i="2"/>
  <c r="L142" i="2"/>
  <c r="L141" i="2"/>
  <c r="C148" i="1"/>
  <c r="B148" i="1" s="1"/>
  <c r="C146" i="1"/>
  <c r="B146" i="1" s="1"/>
  <c r="I160" i="1"/>
  <c r="I159" i="1"/>
  <c r="I158" i="1"/>
  <c r="L143" i="1"/>
  <c r="L142" i="1"/>
  <c r="L141" i="1"/>
  <c r="C147" i="1"/>
  <c r="B147" i="1" s="1"/>
  <c r="J143" i="1"/>
  <c r="J142" i="1"/>
  <c r="J141" i="1"/>
  <c r="G158" i="2" l="1"/>
  <c r="L136" i="2"/>
  <c r="E158" i="2"/>
  <c r="E148" i="2"/>
  <c r="H148" i="2"/>
  <c r="I148" i="2" s="1"/>
  <c r="F160" i="2"/>
  <c r="H147" i="2"/>
  <c r="I147" i="2" s="1"/>
  <c r="E147" i="2"/>
  <c r="F159" i="2"/>
  <c r="I136" i="2"/>
  <c r="J136" i="2" s="1"/>
  <c r="G136" i="2"/>
  <c r="H136" i="2" s="1"/>
  <c r="J146" i="2"/>
  <c r="E136" i="2"/>
  <c r="F136" i="2" s="1"/>
  <c r="H146" i="1"/>
  <c r="I146" i="1" s="1"/>
  <c r="E146" i="1"/>
  <c r="F158" i="1"/>
  <c r="H147" i="1"/>
  <c r="I147" i="1" s="1"/>
  <c r="E147" i="1"/>
  <c r="F159" i="1"/>
  <c r="E148" i="1"/>
  <c r="H148" i="1"/>
  <c r="I148" i="1" s="1"/>
  <c r="F160" i="1"/>
  <c r="I137" i="2" l="1"/>
  <c r="J137" i="2" s="1"/>
  <c r="J147" i="2"/>
  <c r="G137" i="2"/>
  <c r="H137" i="2" s="1"/>
  <c r="E137" i="2"/>
  <c r="F137" i="2" s="1"/>
  <c r="K137" i="2"/>
  <c r="G138" i="2"/>
  <c r="H138" i="2" s="1"/>
  <c r="I138" i="2"/>
  <c r="J138" i="2" s="1"/>
  <c r="E138" i="2"/>
  <c r="F138" i="2" s="1"/>
  <c r="K138" i="2"/>
  <c r="J148" i="2"/>
  <c r="E136" i="1"/>
  <c r="F136" i="1" s="1"/>
  <c r="G136" i="1"/>
  <c r="H136" i="1" s="1"/>
  <c r="J146" i="1"/>
  <c r="I136" i="1"/>
  <c r="J136" i="1" s="1"/>
  <c r="K136" i="1"/>
  <c r="G138" i="1"/>
  <c r="H138" i="1" s="1"/>
  <c r="E138" i="1"/>
  <c r="F138" i="1" s="1"/>
  <c r="I138" i="1"/>
  <c r="J138" i="1" s="1"/>
  <c r="J148" i="1"/>
  <c r="K138" i="1"/>
  <c r="G137" i="1"/>
  <c r="H137" i="1" s="1"/>
  <c r="E137" i="1"/>
  <c r="F137" i="1" s="1"/>
  <c r="K137" i="1"/>
  <c r="J147" i="1"/>
  <c r="I137" i="1"/>
  <c r="J137" i="1" s="1"/>
  <c r="L137" i="2" l="1"/>
  <c r="G159" i="2"/>
  <c r="E159" i="2"/>
  <c r="G160" i="2"/>
  <c r="E160" i="2"/>
  <c r="L138" i="2"/>
  <c r="L138" i="1"/>
  <c r="G160" i="1"/>
  <c r="E160" i="1"/>
  <c r="L137" i="1"/>
  <c r="G159" i="1"/>
  <c r="E159" i="1"/>
  <c r="G158" i="1"/>
  <c r="L136" i="1"/>
  <c r="E158" i="1"/>
  <c r="G14" i="3" l="1"/>
  <c r="G15" i="3" s="1"/>
  <c r="G17" i="3" s="1"/>
  <c r="G23" i="3" l="1"/>
  <c r="G32" i="3" s="1"/>
  <c r="G35" i="3" l="1"/>
  <c r="I32" i="3"/>
  <c r="G34" i="3"/>
  <c r="G37" i="3"/>
  <c r="G47" i="3" l="1"/>
  <c r="I51" i="3"/>
  <c r="G39" i="3"/>
  <c r="G48" i="3"/>
  <c r="I52" i="3"/>
  <c r="G46" i="3"/>
  <c r="I53" i="3"/>
  <c r="G42" i="3" l="1"/>
  <c r="G43" i="3" s="1"/>
  <c r="G40" i="3"/>
</calcChain>
</file>

<file path=xl/comments1.xml><?xml version="1.0" encoding="utf-8"?>
<comments xmlns="http://schemas.openxmlformats.org/spreadsheetml/2006/main">
  <authors>
    <author>kmartindale</author>
    <author>rjones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Enter R for Residential or C for Commercial -</t>
        </r>
        <r>
          <rPr>
            <sz val="8"/>
            <color indexed="81"/>
            <rFont val="Tahoma"/>
            <family val="2"/>
          </rPr>
          <t xml:space="preserve">
Residential properties can use multiples of the same layout
Commercial properties need to use distinct suites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Enter R for monthly rent amount or P for PSF price</t>
        </r>
      </text>
    </comment>
  </commentList>
</comments>
</file>

<file path=xl/comments2.xml><?xml version="1.0" encoding="utf-8"?>
<comments xmlns="http://schemas.openxmlformats.org/spreadsheetml/2006/main">
  <authors>
    <author>kmartindale</author>
    <author>rjones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Enter R for Residential or C for Commercial -</t>
        </r>
        <r>
          <rPr>
            <sz val="8"/>
            <color indexed="81"/>
            <rFont val="Tahoma"/>
            <family val="2"/>
          </rPr>
          <t xml:space="preserve">
Residential properties can use multiples of the same layout
Commercial properties need to use distinct suites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Enter R for monthly rent amount or P for PSF price</t>
        </r>
      </text>
    </comment>
  </commentList>
</comments>
</file>

<file path=xl/comments3.xml><?xml version="1.0" encoding="utf-8"?>
<comments xmlns="http://schemas.openxmlformats.org/spreadsheetml/2006/main">
  <authors>
    <author>kmartindale</author>
    <author>rjones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Enter R for Residential or C for Commercial -</t>
        </r>
        <r>
          <rPr>
            <sz val="8"/>
            <color indexed="81"/>
            <rFont val="Tahoma"/>
            <family val="2"/>
          </rPr>
          <t xml:space="preserve">
Residential properties can use multiples of the same layout
Commercial properties need to use distinct suites</t>
        </r>
      </text>
    </comment>
    <comment ref="C5" authorId="1" shapeId="0">
      <text>
        <r>
          <rPr>
            <b/>
            <sz val="8"/>
            <color indexed="81"/>
            <rFont val="Tahoma"/>
            <family val="2"/>
          </rPr>
          <t>Enter R for monthly rent amount or P for PSF price</t>
        </r>
      </text>
    </comment>
  </commentList>
</comments>
</file>

<file path=xl/sharedStrings.xml><?xml version="1.0" encoding="utf-8"?>
<sst xmlns="http://schemas.openxmlformats.org/spreadsheetml/2006/main" count="652" uniqueCount="186">
  <si>
    <t>Input Information Below:</t>
  </si>
  <si>
    <t>Property Type:</t>
  </si>
  <si>
    <t>r</t>
  </si>
  <si>
    <t>Revenue Type:</t>
  </si>
  <si>
    <t>Total Square Footage of Land:</t>
  </si>
  <si>
    <t>Total Square Footage of Improvement:</t>
  </si>
  <si>
    <t>Purchase Price:</t>
  </si>
  <si>
    <t>Scenario 1</t>
  </si>
  <si>
    <t>Scenario 2</t>
  </si>
  <si>
    <t>Scenario 3</t>
  </si>
  <si>
    <t>Land</t>
  </si>
  <si>
    <t>Building</t>
  </si>
  <si>
    <t>Closing Cost:</t>
  </si>
  <si>
    <t>Closing Fee</t>
  </si>
  <si>
    <t>Attorney Fees</t>
  </si>
  <si>
    <t>Title Insurance</t>
  </si>
  <si>
    <t>Survey</t>
  </si>
  <si>
    <t>Environmental</t>
  </si>
  <si>
    <t>Engineering</t>
  </si>
  <si>
    <t>Recording Fee</t>
  </si>
  <si>
    <t>Acquisition Cost:</t>
  </si>
  <si>
    <t>Development Cost:</t>
  </si>
  <si>
    <t>Cost per SF</t>
  </si>
  <si>
    <t>Site Work</t>
  </si>
  <si>
    <t>Utilities</t>
  </si>
  <si>
    <t>Landscaping</t>
  </si>
  <si>
    <t>Elevator</t>
  </si>
  <si>
    <t>Architect</t>
  </si>
  <si>
    <t>Permits</t>
  </si>
  <si>
    <t>Tap Fees</t>
  </si>
  <si>
    <t>Inspections</t>
  </si>
  <si>
    <t>Building Costs</t>
  </si>
  <si>
    <t>Tenant Investments</t>
  </si>
  <si>
    <t>Constr. Interest</t>
  </si>
  <si>
    <t>Constr. Loan Closing</t>
  </si>
  <si>
    <t>Development Fee</t>
  </si>
  <si>
    <t>Contingency</t>
  </si>
  <si>
    <t>Investment</t>
  </si>
  <si>
    <t>Rent Increase %</t>
  </si>
  <si>
    <t>Year 1 - 2</t>
  </si>
  <si>
    <t xml:space="preserve">Year 2 - 3 </t>
  </si>
  <si>
    <t>Expense Increase %</t>
  </si>
  <si>
    <t>Year 2 - 3</t>
  </si>
  <si>
    <t>Property Evaluation</t>
  </si>
  <si>
    <t>Type</t>
  </si>
  <si>
    <t>Total SF</t>
  </si>
  <si>
    <t>Actual Rents or Actual Annual PSF</t>
  </si>
  <si>
    <t>Monthly Rents or Annual PSF- Year 1</t>
  </si>
  <si>
    <t>Monthly Rents or Annual PSF- Year 2</t>
  </si>
  <si>
    <t>Monthly Rents or Annual PSF- Year 3</t>
  </si>
  <si>
    <t>1br</t>
  </si>
  <si>
    <t>Commercial Retail</t>
  </si>
  <si>
    <t xml:space="preserve">Total Monthly Rent </t>
  </si>
  <si>
    <t>Income</t>
  </si>
  <si>
    <t>Income                                          Prior Year</t>
  </si>
  <si>
    <t>Income                        
Year 1</t>
  </si>
  <si>
    <t>Income                        
Year 2</t>
  </si>
  <si>
    <t>Income                     
Year 3</t>
  </si>
  <si>
    <t>Gross Potential Rent</t>
  </si>
  <si>
    <t xml:space="preserve">     Less: Vacancy</t>
  </si>
  <si>
    <t xml:space="preserve">     Less: Concessions</t>
  </si>
  <si>
    <t>Net Rental Revenue</t>
  </si>
  <si>
    <t>Pass Through Override</t>
  </si>
  <si>
    <t xml:space="preserve">     Plus: Pass Through</t>
  </si>
  <si>
    <t xml:space="preserve">     Plus: Other Income</t>
  </si>
  <si>
    <t>Total Income</t>
  </si>
  <si>
    <t>Expenses</t>
  </si>
  <si>
    <t>Expenses                            
Prior Year</t>
  </si>
  <si>
    <t>Expenses                            
Year 1</t>
  </si>
  <si>
    <t>Expenses                            
Year 2</t>
  </si>
  <si>
    <t>Expenses                            
Year 3</t>
  </si>
  <si>
    <t>Wages</t>
  </si>
  <si>
    <t>Taxes</t>
  </si>
  <si>
    <t>Benefits</t>
  </si>
  <si>
    <t>Other</t>
  </si>
  <si>
    <t>Salaries and Personnel</t>
  </si>
  <si>
    <t>Property Insurance</t>
  </si>
  <si>
    <t>Other insurance</t>
  </si>
  <si>
    <t>Insurance</t>
  </si>
  <si>
    <t>Property Taxes</t>
  </si>
  <si>
    <t>Other Taxes</t>
  </si>
  <si>
    <t>Cable</t>
  </si>
  <si>
    <t>Water</t>
  </si>
  <si>
    <t>Gas</t>
  </si>
  <si>
    <t>High Speed Internet</t>
  </si>
  <si>
    <t>Management Fees</t>
  </si>
  <si>
    <t>Office Supplies</t>
  </si>
  <si>
    <t>Postage</t>
  </si>
  <si>
    <t>Prof/Legal Fees</t>
  </si>
  <si>
    <t>Misc Expense</t>
  </si>
  <si>
    <t>Administrative</t>
  </si>
  <si>
    <t>Advertising</t>
  </si>
  <si>
    <t>Promotions</t>
  </si>
  <si>
    <t>Marketing</t>
  </si>
  <si>
    <t>Trash Service</t>
  </si>
  <si>
    <t>Lawn Care</t>
  </si>
  <si>
    <t>Snow Removal</t>
  </si>
  <si>
    <t>Cleaning</t>
  </si>
  <si>
    <t>Contract Services</t>
  </si>
  <si>
    <t>Building Repair</t>
  </si>
  <si>
    <t>Equipment repair</t>
  </si>
  <si>
    <t>Turnover Cost</t>
  </si>
  <si>
    <t>Repair and Maintenance</t>
  </si>
  <si>
    <t>Replacement Reserves</t>
  </si>
  <si>
    <t>Total Operating Expenses</t>
  </si>
  <si>
    <t>Expenses Per SF:</t>
  </si>
  <si>
    <t>Net Operating Income</t>
  </si>
  <si>
    <t>Projected Net Cash Flow:</t>
  </si>
  <si>
    <t>Cost/Price</t>
  </si>
  <si>
    <t>Net Cash Flow</t>
  </si>
  <si>
    <t>Cash On Cash
Return</t>
  </si>
  <si>
    <t>Cap Rate Analysis</t>
  </si>
  <si>
    <t>Cost/SF</t>
  </si>
  <si>
    <t>GRM</t>
  </si>
  <si>
    <t>Cap Rate</t>
  </si>
  <si>
    <t>Loan Amount</t>
  </si>
  <si>
    <t>Down Payment</t>
  </si>
  <si>
    <t>Down Pmt %</t>
  </si>
  <si>
    <t>LTV</t>
  </si>
  <si>
    <t>Interest Rate</t>
  </si>
  <si>
    <t>Amort.</t>
  </si>
  <si>
    <t>Payment</t>
  </si>
  <si>
    <t>Annual 
Debt Service</t>
  </si>
  <si>
    <t>Debt Coverage Ratio</t>
  </si>
  <si>
    <t>This Section based on Prior Year Actual NOI</t>
  </si>
  <si>
    <t>Value by Cap Rate</t>
  </si>
  <si>
    <t>This Section based on NOI and Cash Flow from Year 3</t>
  </si>
  <si>
    <t>Property Value &amp; Return Analysis</t>
  </si>
  <si>
    <t>Land Value</t>
  </si>
  <si>
    <t>Development</t>
  </si>
  <si>
    <t>Value w/ Development</t>
  </si>
  <si>
    <t>Return on Investment</t>
  </si>
  <si>
    <t>Equity Value</t>
  </si>
  <si>
    <t>Return on Equity</t>
  </si>
  <si>
    <t>Assumes rents will increase in years 2 and 3 by:</t>
  </si>
  <si>
    <t>Assumes expenses will increase in years 2 and 3 by:</t>
  </si>
  <si>
    <t>This information contained herin has been obtained from sources we deem reliable.</t>
  </si>
  <si>
    <t>While we have no reason to doubt it, we do not guarantee it.</t>
  </si>
  <si>
    <t>Units</t>
  </si>
  <si>
    <t>Unit Sq. Ft.</t>
  </si>
  <si>
    <t>Total Sq. Ft.</t>
  </si>
  <si>
    <t>Actual Rents</t>
  </si>
  <si>
    <t>PSF</t>
  </si>
  <si>
    <t>Target Rents</t>
  </si>
  <si>
    <t>Rent/Sq. Ft.</t>
  </si>
  <si>
    <t>Market Rents</t>
  </si>
  <si>
    <t xml:space="preserve"> Actual</t>
  </si>
  <si>
    <t>Target Budget</t>
  </si>
  <si>
    <t>July 2001 Annualized</t>
  </si>
  <si>
    <t>Proforma</t>
  </si>
  <si>
    <t>Gross Potential Income (GPI)</t>
  </si>
  <si>
    <t xml:space="preserve">     Less: Vacancy &amp; Credit Loss </t>
  </si>
  <si>
    <t>Effective Gross Income (EGI)</t>
  </si>
  <si>
    <t>Total Adjusted Gross Income (AGI)</t>
  </si>
  <si>
    <t>Per Unit</t>
  </si>
  <si>
    <t>Unit Turnover</t>
  </si>
  <si>
    <t>Maintenance &amp; Repairs</t>
  </si>
  <si>
    <t>Contracted Services</t>
  </si>
  <si>
    <t>General &amp; Administrative</t>
  </si>
  <si>
    <t>Property Tax</t>
  </si>
  <si>
    <t>Payroll Expense</t>
  </si>
  <si>
    <t>Per Unit:</t>
  </si>
  <si>
    <t>Per Foot:</t>
  </si>
  <si>
    <t>Net Operating Income (NOI)</t>
  </si>
  <si>
    <t>Less: Debt Service: Asking Price</t>
  </si>
  <si>
    <t>Projected Net Cash Flow</t>
  </si>
  <si>
    <t>Cash on Cash Return (Based on Ask Price)</t>
  </si>
  <si>
    <t>Principal Reduction</t>
  </si>
  <si>
    <t>Total Return</t>
  </si>
  <si>
    <t>Total Return %</t>
  </si>
  <si>
    <t>Price</t>
  </si>
  <si>
    <t>$/Unit</t>
  </si>
  <si>
    <t>$/Foot</t>
  </si>
  <si>
    <t>Asking Price (4)</t>
  </si>
  <si>
    <t>High</t>
  </si>
  <si>
    <t>Low</t>
  </si>
  <si>
    <t>Target</t>
  </si>
  <si>
    <t>Loan Amount (5)</t>
  </si>
  <si>
    <t>% Down
Payment</t>
  </si>
  <si>
    <t>Based on Target
Payments</t>
  </si>
  <si>
    <t>Based on Target
Annual 
Debt Service</t>
  </si>
  <si>
    <t>Debt 
Coverage 
Ratio</t>
  </si>
  <si>
    <t xml:space="preserve">Based on 
Target
Debt
Coverage
Ratio </t>
  </si>
  <si>
    <t>Bloomfield Apartments</t>
  </si>
  <si>
    <t>Bloomfield, IN</t>
  </si>
  <si>
    <t>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</si>
</sst>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  <numFmt numFmtId="169" formatCode="0.0000000%"/>
    <numFmt numFmtId="170" formatCode="0.000%"/>
  </numFmts>
  <fonts count="29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sz val="12"/>
      <color indexed="10"/>
      <name val="Book Antiqua"/>
      <family val="1"/>
    </font>
    <font>
      <b/>
      <sz val="12"/>
      <name val="Book Antiqua"/>
      <family val="1"/>
    </font>
    <font>
      <b/>
      <sz val="12"/>
      <color indexed="12"/>
      <name val="Book Antiqua"/>
      <family val="1"/>
    </font>
    <font>
      <b/>
      <sz val="14"/>
      <color indexed="60"/>
      <name val="Book Antiqua"/>
      <family val="1"/>
    </font>
    <font>
      <sz val="14"/>
      <name val="Arial"/>
      <family val="2"/>
    </font>
    <font>
      <sz val="14"/>
      <name val="Book Antiqua"/>
      <family val="1"/>
    </font>
    <font>
      <sz val="12"/>
      <color indexed="12"/>
      <name val="Book Antiqua"/>
      <family val="1"/>
    </font>
    <font>
      <b/>
      <u/>
      <sz val="12"/>
      <name val="Book Antiqua"/>
      <family val="1"/>
    </font>
    <font>
      <b/>
      <sz val="12"/>
      <color indexed="10"/>
      <name val="Book Antiqua"/>
      <family val="1"/>
    </font>
    <font>
      <b/>
      <i/>
      <sz val="12"/>
      <name val="Book Antiqua"/>
      <family val="1"/>
    </font>
    <font>
      <b/>
      <i/>
      <sz val="16"/>
      <name val="Book Antiqua"/>
      <family val="1"/>
    </font>
    <font>
      <sz val="11"/>
      <name val="Book Antiqua"/>
      <family val="1"/>
    </font>
    <font>
      <i/>
      <sz val="12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26"/>
      <color indexed="61"/>
      <name val="Book Antiqua"/>
      <family val="1"/>
    </font>
    <font>
      <sz val="12"/>
      <color indexed="61"/>
      <name val="Book Antiqua"/>
      <family val="1"/>
    </font>
    <font>
      <b/>
      <i/>
      <sz val="14"/>
      <name val="Book Antiqua"/>
      <family val="1"/>
    </font>
    <font>
      <b/>
      <sz val="12"/>
      <color rgb="FF0000FF"/>
      <name val="Book Antiqua"/>
      <family val="1"/>
    </font>
    <font>
      <sz val="12"/>
      <color rgb="FF0000FF"/>
      <name val="Book Antiqua"/>
      <family val="1"/>
    </font>
    <font>
      <b/>
      <sz val="14"/>
      <name val="Book Antiqua"/>
      <family val="1"/>
    </font>
    <font>
      <b/>
      <sz val="14"/>
      <color indexed="10"/>
      <name val="Book Antiqua"/>
      <family val="1"/>
    </font>
    <font>
      <sz val="12"/>
      <color rgb="FFFF0000"/>
      <name val="Book Antiqua"/>
      <family val="1"/>
    </font>
    <font>
      <sz val="10"/>
      <name val="Arial"/>
      <family val="2"/>
    </font>
    <font>
      <sz val="16"/>
      <name val="Book Antiqua"/>
      <family val="1"/>
    </font>
    <font>
      <b/>
      <sz val="12"/>
      <color indexed="9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44" fontId="4" fillId="4" borderId="1" xfId="0" applyNumberFormat="1" applyFont="1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/>
      <protection locked="0"/>
    </xf>
    <xf numFmtId="44" fontId="4" fillId="0" borderId="2" xfId="0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alignment horizontal="center"/>
    </xf>
    <xf numFmtId="44" fontId="4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9" fontId="9" fillId="0" borderId="0" xfId="0" applyNumberFormat="1" applyFont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wrapText="1"/>
    </xf>
    <xf numFmtId="0" fontId="4" fillId="0" borderId="0" xfId="0" applyFont="1" applyFill="1" applyProtection="1"/>
    <xf numFmtId="0" fontId="5" fillId="2" borderId="5" xfId="0" applyFont="1" applyFill="1" applyBorder="1" applyAlignment="1" applyProtection="1">
      <alignment horizontal="center"/>
      <protection locked="0"/>
    </xf>
    <xf numFmtId="16" fontId="5" fillId="2" borderId="5" xfId="0" applyNumberFormat="1" applyFont="1" applyFill="1" applyBorder="1" applyAlignment="1" applyProtection="1">
      <alignment horizontal="center"/>
      <protection locked="0"/>
    </xf>
    <xf numFmtId="3" fontId="5" fillId="2" borderId="5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</xf>
    <xf numFmtId="44" fontId="5" fillId="5" borderId="5" xfId="0" applyNumberFormat="1" applyFont="1" applyFill="1" applyBorder="1" applyAlignment="1" applyProtection="1">
      <alignment horizontal="center"/>
      <protection locked="0"/>
    </xf>
    <xf numFmtId="166" fontId="2" fillId="0" borderId="6" xfId="0" applyNumberFormat="1" applyFont="1" applyBorder="1" applyAlignment="1" applyProtection="1">
      <alignment horizontal="center"/>
    </xf>
    <xf numFmtId="44" fontId="5" fillId="2" borderId="5" xfId="0" applyNumberFormat="1" applyFont="1" applyFill="1" applyBorder="1" applyAlignment="1" applyProtection="1">
      <alignment horizontal="center"/>
      <protection locked="0"/>
    </xf>
    <xf numFmtId="44" fontId="2" fillId="0" borderId="6" xfId="0" applyNumberFormat="1" applyFont="1" applyBorder="1" applyAlignment="1" applyProtection="1">
      <alignment horizontal="center"/>
    </xf>
    <xf numFmtId="44" fontId="2" fillId="0" borderId="5" xfId="0" applyNumberFormat="1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16" fontId="5" fillId="2" borderId="7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</xf>
    <xf numFmtId="44" fontId="5" fillId="5" borderId="7" xfId="0" applyNumberFormat="1" applyFont="1" applyFill="1" applyBorder="1" applyAlignment="1" applyProtection="1">
      <alignment horizontal="center"/>
      <protection locked="0"/>
    </xf>
    <xf numFmtId="44" fontId="5" fillId="2" borderId="7" xfId="0" applyNumberFormat="1" applyFont="1" applyFill="1" applyBorder="1" applyAlignment="1" applyProtection="1">
      <alignment horizontal="center"/>
      <protection locked="0"/>
    </xf>
    <xf numFmtId="44" fontId="2" fillId="0" borderId="7" xfId="0" applyNumberFormat="1" applyFont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3" fontId="4" fillId="4" borderId="8" xfId="0" applyNumberFormat="1" applyFont="1" applyFill="1" applyBorder="1" applyAlignment="1" applyProtection="1">
      <alignment horizontal="center"/>
    </xf>
    <xf numFmtId="44" fontId="4" fillId="4" borderId="8" xfId="0" applyNumberFormat="1" applyFont="1" applyFill="1" applyBorder="1" applyAlignment="1" applyProtection="1">
      <alignment horizontal="center"/>
    </xf>
    <xf numFmtId="166" fontId="4" fillId="4" borderId="9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3" fontId="4" fillId="4" borderId="11" xfId="0" applyNumberFormat="1" applyFont="1" applyFill="1" applyBorder="1" applyAlignment="1" applyProtection="1">
      <alignment horizontal="center"/>
    </xf>
    <xf numFmtId="3" fontId="4" fillId="4" borderId="12" xfId="0" applyNumberFormat="1" applyFont="1" applyFill="1" applyBorder="1" applyAlignment="1" applyProtection="1">
      <alignment horizontal="right"/>
    </xf>
    <xf numFmtId="167" fontId="4" fillId="4" borderId="10" xfId="0" applyNumberFormat="1" applyFont="1" applyFill="1" applyBorder="1" applyAlignment="1" applyProtection="1">
      <alignment horizontal="center"/>
    </xf>
    <xf numFmtId="166" fontId="4" fillId="4" borderId="12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0" fontId="10" fillId="4" borderId="11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4" fillId="0" borderId="13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167" fontId="4" fillId="0" borderId="13" xfId="0" applyNumberFormat="1" applyFont="1" applyBorder="1" applyAlignment="1" applyProtection="1">
      <alignment horizontal="center"/>
    </xf>
    <xf numFmtId="164" fontId="4" fillId="0" borderId="14" xfId="0" applyNumberFormat="1" applyFont="1" applyBorder="1" applyAlignment="1" applyProtection="1">
      <alignment horizontal="center"/>
    </xf>
    <xf numFmtId="5" fontId="11" fillId="0" borderId="14" xfId="0" quotePrefix="1" applyNumberFormat="1" applyFont="1" applyFill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2" fillId="0" borderId="13" xfId="0" applyFont="1" applyBorder="1" applyProtection="1"/>
    <xf numFmtId="0" fontId="2" fillId="0" borderId="6" xfId="0" applyFont="1" applyBorder="1" applyProtection="1"/>
    <xf numFmtId="167" fontId="3" fillId="0" borderId="13" xfId="0" applyNumberFormat="1" applyFont="1" applyBorder="1" applyAlignment="1" applyProtection="1">
      <alignment horizontal="center"/>
    </xf>
    <xf numFmtId="10" fontId="2" fillId="2" borderId="14" xfId="0" applyNumberFormat="1" applyFont="1" applyFill="1" applyBorder="1" applyAlignment="1" applyProtection="1">
      <alignment horizontal="center"/>
    </xf>
    <xf numFmtId="167" fontId="3" fillId="0" borderId="16" xfId="0" applyNumberFormat="1" applyFont="1" applyBorder="1" applyAlignment="1" applyProtection="1">
      <alignment horizontal="center"/>
    </xf>
    <xf numFmtId="10" fontId="2" fillId="2" borderId="6" xfId="0" applyNumberFormat="1" applyFont="1" applyFill="1" applyBorder="1" applyAlignment="1" applyProtection="1">
      <alignment horizontal="center"/>
    </xf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167" fontId="5" fillId="5" borderId="17" xfId="0" applyNumberFormat="1" applyFont="1" applyFill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</xf>
    <xf numFmtId="167" fontId="5" fillId="2" borderId="17" xfId="0" applyNumberFormat="1" applyFont="1" applyFill="1" applyBorder="1" applyAlignment="1" applyProtection="1">
      <alignment horizontal="center"/>
      <protection locked="0"/>
    </xf>
    <xf numFmtId="5" fontId="3" fillId="0" borderId="20" xfId="0" quotePrefix="1" applyNumberFormat="1" applyFont="1" applyFill="1" applyBorder="1" applyAlignment="1" applyProtection="1">
      <alignment horizontal="center"/>
    </xf>
    <xf numFmtId="167" fontId="5" fillId="2" borderId="21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7" fontId="4" fillId="0" borderId="13" xfId="0" applyNumberFormat="1" applyFont="1" applyBorder="1" applyAlignment="1" applyProtection="1">
      <alignment horizontal="center" vertical="center"/>
    </xf>
    <xf numFmtId="164" fontId="11" fillId="0" borderId="14" xfId="0" applyNumberFormat="1" applyFont="1" applyBorder="1" applyAlignment="1" applyProtection="1">
      <alignment horizontal="center" vertical="center"/>
    </xf>
    <xf numFmtId="5" fontId="11" fillId="0" borderId="14" xfId="0" applyNumberFormat="1" applyFont="1" applyFill="1" applyBorder="1" applyAlignment="1" applyProtection="1">
      <alignment horizontal="center" vertical="center"/>
    </xf>
    <xf numFmtId="167" fontId="4" fillId="0" borderId="1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168" fontId="4" fillId="5" borderId="1" xfId="1" applyNumberFormat="1" applyFont="1" applyFill="1" applyBorder="1" applyAlignment="1" applyProtection="1">
      <alignment horizontal="right" vertical="center"/>
    </xf>
    <xf numFmtId="168" fontId="4" fillId="2" borderId="1" xfId="1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Border="1" applyAlignment="1" applyProtection="1">
      <alignment horizontal="center" vertical="center"/>
    </xf>
    <xf numFmtId="166" fontId="2" fillId="0" borderId="14" xfId="0" applyNumberFormat="1" applyFont="1" applyBorder="1" applyAlignment="1" applyProtection="1">
      <alignment horizontal="center" vertical="center"/>
    </xf>
    <xf numFmtId="167" fontId="2" fillId="0" borderId="1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44" fontId="2" fillId="0" borderId="6" xfId="0" applyNumberFormat="1" applyFont="1" applyBorder="1" applyAlignment="1" applyProtection="1">
      <alignment vertical="center"/>
    </xf>
    <xf numFmtId="167" fontId="5" fillId="5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167" fontId="5" fillId="2" borderId="13" xfId="0" applyNumberFormat="1" applyFont="1" applyFill="1" applyBorder="1" applyAlignment="1" applyProtection="1">
      <alignment horizontal="center" vertical="center"/>
      <protection locked="0"/>
    </xf>
    <xf numFmtId="5" fontId="3" fillId="0" borderId="20" xfId="0" applyNumberFormat="1" applyFont="1" applyFill="1" applyBorder="1" applyAlignment="1" applyProtection="1">
      <alignment horizontal="center" vertical="center"/>
    </xf>
    <xf numFmtId="167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4" fillId="4" borderId="24" xfId="0" applyFont="1" applyFill="1" applyBorder="1" applyProtection="1"/>
    <xf numFmtId="0" fontId="4" fillId="4" borderId="25" xfId="0" applyFont="1" applyFill="1" applyBorder="1" applyProtection="1"/>
    <xf numFmtId="0" fontId="2" fillId="4" borderId="25" xfId="0" applyFont="1" applyFill="1" applyBorder="1" applyAlignment="1" applyProtection="1">
      <alignment horizontal="right"/>
    </xf>
    <xf numFmtId="0" fontId="4" fillId="4" borderId="26" xfId="0" applyFont="1" applyFill="1" applyBorder="1" applyProtection="1"/>
    <xf numFmtId="167" fontId="4" fillId="4" borderId="24" xfId="0" applyNumberFormat="1" applyFont="1" applyFill="1" applyBorder="1" applyAlignment="1" applyProtection="1">
      <alignment horizontal="center"/>
    </xf>
    <xf numFmtId="166" fontId="4" fillId="4" borderId="27" xfId="0" applyNumberFormat="1" applyFont="1" applyFill="1" applyBorder="1" applyAlignment="1" applyProtection="1">
      <alignment horizontal="center"/>
    </xf>
    <xf numFmtId="167" fontId="4" fillId="4" borderId="28" xfId="0" applyNumberFormat="1" applyFont="1" applyFill="1" applyBorder="1" applyAlignment="1" applyProtection="1">
      <alignment horizontal="center"/>
    </xf>
    <xf numFmtId="7" fontId="4" fillId="4" borderId="27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4" borderId="11" xfId="0" applyFont="1" applyFill="1" applyBorder="1" applyProtection="1"/>
    <xf numFmtId="0" fontId="2" fillId="4" borderId="11" xfId="0" applyFont="1" applyFill="1" applyBorder="1" applyAlignment="1" applyProtection="1">
      <alignment horizontal="right"/>
    </xf>
    <xf numFmtId="0" fontId="2" fillId="4" borderId="12" xfId="0" applyFont="1" applyFill="1" applyBorder="1" applyProtection="1"/>
    <xf numFmtId="0" fontId="4" fillId="0" borderId="13" xfId="0" applyFont="1" applyFill="1" applyBorder="1" applyProtection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164" fontId="5" fillId="5" borderId="13" xfId="0" applyNumberFormat="1" applyFont="1" applyFill="1" applyBorder="1" applyAlignment="1" applyProtection="1">
      <alignment horizontal="center" wrapText="1"/>
    </xf>
    <xf numFmtId="10" fontId="2" fillId="0" borderId="14" xfId="0" applyNumberFormat="1" applyFont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 wrapText="1"/>
    </xf>
    <xf numFmtId="44" fontId="2" fillId="0" borderId="13" xfId="0" applyNumberFormat="1" applyFont="1" applyFill="1" applyBorder="1" applyAlignment="1" applyProtection="1">
      <alignment horizontal="center" wrapText="1"/>
    </xf>
    <xf numFmtId="10" fontId="2" fillId="0" borderId="14" xfId="0" applyNumberFormat="1" applyFont="1" applyFill="1" applyBorder="1" applyAlignment="1" applyProtection="1">
      <alignment horizontal="center"/>
    </xf>
    <xf numFmtId="167" fontId="2" fillId="0" borderId="16" xfId="0" applyNumberFormat="1" applyFont="1" applyFill="1" applyBorder="1" applyAlignment="1" applyProtection="1">
      <alignment horizontal="center"/>
    </xf>
    <xf numFmtId="10" fontId="2" fillId="0" borderId="6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center"/>
    </xf>
    <xf numFmtId="167" fontId="2" fillId="0" borderId="13" xfId="0" applyNumberFormat="1" applyFont="1" applyBorder="1" applyAlignment="1" applyProtection="1">
      <alignment horizontal="center"/>
    </xf>
    <xf numFmtId="167" fontId="2" fillId="0" borderId="16" xfId="0" applyNumberFormat="1" applyFont="1" applyBorder="1" applyAlignment="1" applyProtection="1">
      <alignment horizontal="center"/>
    </xf>
    <xf numFmtId="164" fontId="5" fillId="5" borderId="13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/>
    </xf>
    <xf numFmtId="164" fontId="5" fillId="5" borderId="16" xfId="0" applyNumberFormat="1" applyFont="1" applyFill="1" applyBorder="1" applyAlignment="1" applyProtection="1">
      <alignment horizontal="center"/>
    </xf>
    <xf numFmtId="164" fontId="5" fillId="2" borderId="16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</xf>
    <xf numFmtId="167" fontId="2" fillId="0" borderId="13" xfId="0" applyNumberFormat="1" applyFont="1" applyFill="1" applyBorder="1" applyAlignment="1" applyProtection="1">
      <alignment horizontal="center"/>
    </xf>
    <xf numFmtId="167" fontId="2" fillId="0" borderId="13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5" fontId="2" fillId="0" borderId="14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5" fontId="4" fillId="0" borderId="0" xfId="2" applyNumberFormat="1" applyFont="1" applyFill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0" fontId="4" fillId="0" borderId="14" xfId="0" applyNumberFormat="1" applyFont="1" applyBorder="1" applyAlignment="1" applyProtection="1">
      <alignment horizontal="center"/>
    </xf>
    <xf numFmtId="10" fontId="4" fillId="0" borderId="14" xfId="0" applyNumberFormat="1" applyFont="1" applyFill="1" applyBorder="1" applyAlignment="1" applyProtection="1">
      <alignment horizontal="center"/>
    </xf>
    <xf numFmtId="167" fontId="4" fillId="0" borderId="16" xfId="0" applyNumberFormat="1" applyFont="1" applyBorder="1" applyAlignment="1" applyProtection="1">
      <alignment horizontal="center"/>
    </xf>
    <xf numFmtId="10" fontId="4" fillId="0" borderId="6" xfId="0" applyNumberFormat="1" applyFont="1" applyBorder="1" applyAlignment="1" applyProtection="1">
      <alignment horizontal="center"/>
    </xf>
    <xf numFmtId="7" fontId="2" fillId="0" borderId="0" xfId="1" applyNumberFormat="1" applyFont="1" applyAlignment="1" applyProtection="1">
      <alignment horizontal="right"/>
    </xf>
    <xf numFmtId="5" fontId="2" fillId="0" borderId="0" xfId="2" applyNumberFormat="1" applyFont="1" applyFill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right"/>
    </xf>
    <xf numFmtId="7" fontId="2" fillId="0" borderId="6" xfId="2" applyNumberFormat="1" applyFont="1" applyFill="1" applyBorder="1" applyAlignment="1" applyProtection="1">
      <alignment horizontal="right"/>
    </xf>
    <xf numFmtId="44" fontId="2" fillId="0" borderId="13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center"/>
    </xf>
    <xf numFmtId="44" fontId="2" fillId="0" borderId="16" xfId="0" applyNumberFormat="1" applyFont="1" applyBorder="1" applyAlignment="1" applyProtection="1">
      <alignment horizontal="center"/>
    </xf>
    <xf numFmtId="166" fontId="2" fillId="0" borderId="14" xfId="0" applyNumberFormat="1" applyFont="1" applyFill="1" applyBorder="1" applyAlignment="1" applyProtection="1">
      <alignment horizontal="center"/>
    </xf>
    <xf numFmtId="44" fontId="2" fillId="0" borderId="16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4" borderId="29" xfId="0" applyFont="1" applyFill="1" applyBorder="1" applyProtection="1"/>
    <xf numFmtId="0" fontId="4" fillId="4" borderId="30" xfId="0" applyFont="1" applyFill="1" applyBorder="1" applyProtection="1"/>
    <xf numFmtId="0" fontId="4" fillId="4" borderId="31" xfId="0" applyFont="1" applyFill="1" applyBorder="1" applyProtection="1"/>
    <xf numFmtId="167" fontId="4" fillId="4" borderId="29" xfId="0" applyNumberFormat="1" applyFont="1" applyFill="1" applyBorder="1" applyAlignment="1" applyProtection="1">
      <alignment horizontal="center"/>
    </xf>
    <xf numFmtId="0" fontId="4" fillId="4" borderId="32" xfId="0" applyFont="1" applyFill="1" applyBorder="1" applyAlignment="1" applyProtection="1">
      <alignment horizontal="center" wrapText="1"/>
    </xf>
    <xf numFmtId="167" fontId="4" fillId="4" borderId="33" xfId="0" applyNumberFormat="1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 wrapText="1"/>
    </xf>
    <xf numFmtId="7" fontId="2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4" fillId="4" borderId="34" xfId="0" applyFont="1" applyFill="1" applyBorder="1" applyProtection="1"/>
    <xf numFmtId="0" fontId="4" fillId="4" borderId="22" xfId="0" applyFont="1" applyFill="1" applyBorder="1" applyProtection="1"/>
    <xf numFmtId="0" fontId="4" fillId="4" borderId="23" xfId="0" applyFont="1" applyFill="1" applyBorder="1" applyAlignment="1" applyProtection="1">
      <alignment horizontal="center"/>
    </xf>
    <xf numFmtId="167" fontId="4" fillId="4" borderId="34" xfId="0" applyNumberFormat="1" applyFont="1" applyFill="1" applyBorder="1" applyAlignment="1" applyProtection="1">
      <alignment horizontal="center" wrapText="1"/>
    </xf>
    <xf numFmtId="0" fontId="4" fillId="4" borderId="35" xfId="0" applyFont="1" applyFill="1" applyBorder="1" applyAlignment="1" applyProtection="1">
      <alignment horizontal="center" wrapText="1"/>
    </xf>
    <xf numFmtId="0" fontId="4" fillId="0" borderId="24" xfId="0" applyFont="1" applyFill="1" applyBorder="1" applyProtection="1"/>
    <xf numFmtId="0" fontId="4" fillId="0" borderId="25" xfId="0" applyFont="1" applyFill="1" applyBorder="1" applyProtection="1"/>
    <xf numFmtId="164" fontId="4" fillId="0" borderId="25" xfId="0" applyNumberFormat="1" applyFont="1" applyFill="1" applyBorder="1" applyAlignment="1" applyProtection="1">
      <alignment horizontal="right"/>
    </xf>
    <xf numFmtId="167" fontId="4" fillId="0" borderId="26" xfId="2" applyNumberFormat="1" applyFont="1" applyFill="1" applyBorder="1" applyProtection="1"/>
    <xf numFmtId="167" fontId="4" fillId="0" borderId="24" xfId="0" applyNumberFormat="1" applyFont="1" applyFill="1" applyBorder="1" applyAlignment="1" applyProtection="1">
      <alignment horizontal="center"/>
    </xf>
    <xf numFmtId="10" fontId="4" fillId="0" borderId="20" xfId="0" applyNumberFormat="1" applyFont="1" applyFill="1" applyBorder="1" applyAlignment="1" applyProtection="1">
      <alignment horizontal="center"/>
    </xf>
    <xf numFmtId="167" fontId="4" fillId="0" borderId="28" xfId="0" applyNumberFormat="1" applyFont="1" applyBorder="1" applyAlignment="1" applyProtection="1">
      <alignment horizontal="center"/>
    </xf>
    <xf numFmtId="10" fontId="4" fillId="0" borderId="20" xfId="3" applyNumberFormat="1" applyFont="1" applyFill="1" applyBorder="1" applyAlignment="1" applyProtection="1">
      <alignment horizontal="center"/>
    </xf>
    <xf numFmtId="167" fontId="4" fillId="0" borderId="28" xfId="0" applyNumberFormat="1" applyFont="1" applyFill="1" applyBorder="1" applyAlignment="1" applyProtection="1">
      <alignment horizontal="center"/>
    </xf>
    <xf numFmtId="10" fontId="4" fillId="0" borderId="20" xfId="0" applyNumberFormat="1" applyFont="1" applyBorder="1" applyProtection="1"/>
    <xf numFmtId="10" fontId="4" fillId="0" borderId="27" xfId="0" applyNumberFormat="1" applyFont="1" applyFill="1" applyBorder="1" applyAlignment="1" applyProtection="1">
      <alignment horizontal="center"/>
    </xf>
    <xf numFmtId="167" fontId="4" fillId="0" borderId="28" xfId="2" applyNumberFormat="1" applyFont="1" applyBorder="1" applyAlignment="1" applyProtection="1">
      <alignment horizontal="center"/>
    </xf>
    <xf numFmtId="10" fontId="4" fillId="0" borderId="27" xfId="3" applyNumberFormat="1" applyFont="1" applyFill="1" applyBorder="1" applyAlignment="1" applyProtection="1">
      <alignment horizontal="center"/>
    </xf>
    <xf numFmtId="0" fontId="4" fillId="0" borderId="36" xfId="0" applyFont="1" applyFill="1" applyBorder="1" applyProtection="1"/>
    <xf numFmtId="0" fontId="4" fillId="0" borderId="37" xfId="0" applyFont="1" applyFill="1" applyBorder="1" applyProtection="1"/>
    <xf numFmtId="164" fontId="4" fillId="0" borderId="37" xfId="0" applyNumberFormat="1" applyFont="1" applyFill="1" applyBorder="1" applyAlignment="1" applyProtection="1">
      <alignment horizontal="right"/>
    </xf>
    <xf numFmtId="167" fontId="4" fillId="0" borderId="38" xfId="2" applyNumberFormat="1" applyFont="1" applyFill="1" applyBorder="1" applyProtection="1"/>
    <xf numFmtId="167" fontId="4" fillId="0" borderId="36" xfId="0" applyNumberFormat="1" applyFont="1" applyFill="1" applyBorder="1" applyAlignment="1" applyProtection="1">
      <alignment horizontal="center"/>
    </xf>
    <xf numFmtId="10" fontId="4" fillId="0" borderId="39" xfId="0" applyNumberFormat="1" applyFont="1" applyFill="1" applyBorder="1" applyAlignment="1" applyProtection="1">
      <alignment horizontal="center"/>
    </xf>
    <xf numFmtId="167" fontId="4" fillId="0" borderId="40" xfId="2" applyNumberFormat="1" applyFont="1" applyBorder="1" applyAlignment="1" applyProtection="1">
      <alignment horizontal="center"/>
    </xf>
    <xf numFmtId="10" fontId="4" fillId="0" borderId="39" xfId="3" applyNumberFormat="1" applyFont="1" applyFill="1" applyBorder="1" applyAlignment="1" applyProtection="1">
      <alignment horizontal="center"/>
    </xf>
    <xf numFmtId="167" fontId="4" fillId="0" borderId="40" xfId="0" applyNumberFormat="1" applyFont="1" applyFill="1" applyBorder="1" applyAlignment="1" applyProtection="1">
      <alignment horizontal="center"/>
    </xf>
    <xf numFmtId="10" fontId="4" fillId="0" borderId="38" xfId="0" applyNumberFormat="1" applyFont="1" applyBorder="1" applyProtection="1"/>
    <xf numFmtId="0" fontId="10" fillId="0" borderId="13" xfId="0" applyFont="1" applyBorder="1" applyProtection="1"/>
    <xf numFmtId="0" fontId="2" fillId="0" borderId="41" xfId="0" applyFont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4" fillId="4" borderId="43" xfId="0" applyFont="1" applyFill="1" applyBorder="1" applyProtection="1"/>
    <xf numFmtId="0" fontId="10" fillId="4" borderId="44" xfId="0" applyFont="1" applyFill="1" applyBorder="1" applyAlignment="1" applyProtection="1">
      <alignment horizontal="center"/>
    </xf>
    <xf numFmtId="0" fontId="10" fillId="4" borderId="45" xfId="0" applyFont="1" applyFill="1" applyBorder="1" applyAlignment="1" applyProtection="1">
      <alignment horizontal="center"/>
    </xf>
    <xf numFmtId="0" fontId="10" fillId="4" borderId="46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2" fillId="3" borderId="16" xfId="0" applyFont="1" applyFill="1" applyBorder="1" applyProtection="1"/>
    <xf numFmtId="164" fontId="2" fillId="3" borderId="41" xfId="0" applyNumberFormat="1" applyFont="1" applyFill="1" applyBorder="1" applyAlignment="1" applyProtection="1">
      <alignment horizontal="center"/>
    </xf>
    <xf numFmtId="166" fontId="2" fillId="3" borderId="41" xfId="0" applyNumberFormat="1" applyFont="1" applyFill="1" applyBorder="1" applyAlignment="1" applyProtection="1">
      <alignment horizontal="center"/>
    </xf>
    <xf numFmtId="39" fontId="2" fillId="3" borderId="41" xfId="1" applyNumberFormat="1" applyFont="1" applyFill="1" applyBorder="1" applyAlignment="1" applyProtection="1">
      <alignment horizontal="center"/>
    </xf>
    <xf numFmtId="10" fontId="2" fillId="3" borderId="42" xfId="0" applyNumberFormat="1" applyFont="1" applyFill="1" applyBorder="1" applyAlignment="1" applyProtection="1">
      <alignment horizontal="center"/>
    </xf>
    <xf numFmtId="10" fontId="2" fillId="3" borderId="41" xfId="0" applyNumberFormat="1" applyFont="1" applyFill="1" applyBorder="1" applyAlignment="1" applyProtection="1">
      <alignment horizontal="center"/>
    </xf>
    <xf numFmtId="10" fontId="2" fillId="3" borderId="6" xfId="0" applyNumberFormat="1" applyFont="1" applyFill="1" applyBorder="1" applyAlignment="1" applyProtection="1">
      <alignment horizontal="center"/>
    </xf>
    <xf numFmtId="164" fontId="2" fillId="0" borderId="42" xfId="0" applyNumberFormat="1" applyFont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center"/>
    </xf>
    <xf numFmtId="166" fontId="2" fillId="0" borderId="41" xfId="0" applyNumberFormat="1" applyFont="1" applyBorder="1" applyAlignment="1" applyProtection="1">
      <alignment horizontal="center"/>
    </xf>
    <xf numFmtId="10" fontId="2" fillId="0" borderId="47" xfId="0" applyNumberFormat="1" applyFont="1" applyBorder="1" applyAlignment="1" applyProtection="1">
      <alignment horizontal="center"/>
    </xf>
    <xf numFmtId="166" fontId="2" fillId="0" borderId="42" xfId="0" applyNumberFormat="1" applyFont="1" applyBorder="1" applyAlignment="1" applyProtection="1">
      <alignment horizontal="center"/>
    </xf>
    <xf numFmtId="10" fontId="2" fillId="0" borderId="42" xfId="0" applyNumberFormat="1" applyFont="1" applyBorder="1" applyAlignment="1" applyProtection="1">
      <alignment horizontal="center"/>
    </xf>
    <xf numFmtId="0" fontId="12" fillId="3" borderId="48" xfId="0" applyFont="1" applyFill="1" applyBorder="1" applyProtection="1"/>
    <xf numFmtId="164" fontId="2" fillId="0" borderId="49" xfId="0" applyNumberFormat="1" applyFont="1" applyBorder="1" applyAlignment="1" applyProtection="1">
      <alignment horizontal="center"/>
    </xf>
    <xf numFmtId="164" fontId="2" fillId="0" borderId="50" xfId="0" applyNumberFormat="1" applyFont="1" applyFill="1" applyBorder="1" applyAlignment="1" applyProtection="1">
      <alignment horizontal="center"/>
    </xf>
    <xf numFmtId="166" fontId="2" fillId="0" borderId="50" xfId="0" applyNumberFormat="1" applyFont="1" applyBorder="1" applyAlignment="1" applyProtection="1">
      <alignment horizontal="center"/>
    </xf>
    <xf numFmtId="39" fontId="2" fillId="3" borderId="49" xfId="1" applyNumberFormat="1" applyFont="1" applyFill="1" applyBorder="1" applyAlignment="1" applyProtection="1">
      <alignment horizontal="center"/>
    </xf>
    <xf numFmtId="10" fontId="2" fillId="3" borderId="49" xfId="0" applyNumberFormat="1" applyFont="1" applyFill="1" applyBorder="1" applyAlignment="1" applyProtection="1">
      <alignment horizontal="center"/>
    </xf>
    <xf numFmtId="39" fontId="2" fillId="3" borderId="50" xfId="1" applyNumberFormat="1" applyFont="1" applyFill="1" applyBorder="1" applyAlignment="1" applyProtection="1">
      <alignment horizontal="center"/>
    </xf>
    <xf numFmtId="10" fontId="2" fillId="0" borderId="51" xfId="0" applyNumberFormat="1" applyFont="1" applyBorder="1" applyAlignment="1" applyProtection="1">
      <alignment horizontal="center"/>
    </xf>
    <xf numFmtId="166" fontId="2" fillId="0" borderId="49" xfId="0" applyNumberFormat="1" applyFont="1" applyBorder="1" applyAlignment="1" applyProtection="1">
      <alignment horizontal="center"/>
    </xf>
    <xf numFmtId="10" fontId="2" fillId="0" borderId="49" xfId="0" applyNumberFormat="1" applyFont="1" applyBorder="1" applyAlignment="1" applyProtection="1">
      <alignment horizontal="center"/>
    </xf>
    <xf numFmtId="10" fontId="2" fillId="0" borderId="52" xfId="0" applyNumberFormat="1" applyFont="1" applyFill="1" applyBorder="1" applyAlignment="1" applyProtection="1">
      <alignment horizontal="center"/>
    </xf>
    <xf numFmtId="0" fontId="4" fillId="4" borderId="53" xfId="0" applyFont="1" applyFill="1" applyBorder="1" applyAlignment="1" applyProtection="1">
      <alignment horizontal="center"/>
    </xf>
    <xf numFmtId="0" fontId="4" fillId="4" borderId="54" xfId="0" applyFont="1" applyFill="1" applyBorder="1" applyAlignment="1" applyProtection="1">
      <alignment horizontal="center"/>
    </xf>
    <xf numFmtId="0" fontId="4" fillId="4" borderId="54" xfId="0" applyFont="1" applyFill="1" applyBorder="1" applyAlignment="1" applyProtection="1">
      <alignment horizontal="center" wrapText="1"/>
    </xf>
    <xf numFmtId="0" fontId="4" fillId="4" borderId="55" xfId="0" applyFont="1" applyFill="1" applyBorder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5" fontId="5" fillId="2" borderId="0" xfId="3" applyNumberFormat="1" applyFont="1" applyFill="1" applyBorder="1" applyAlignment="1" applyProtection="1">
      <alignment horizontal="center"/>
      <protection locked="0"/>
    </xf>
    <xf numFmtId="165" fontId="2" fillId="0" borderId="0" xfId="3" applyNumberFormat="1" applyFont="1" applyBorder="1" applyAlignment="1" applyProtection="1">
      <alignment horizontal="center"/>
    </xf>
    <xf numFmtId="1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5" fontId="2" fillId="0" borderId="0" xfId="0" applyNumberFormat="1" applyFont="1" applyBorder="1" applyAlignment="1" applyProtection="1">
      <alignment horizontal="center"/>
    </xf>
    <xf numFmtId="39" fontId="2" fillId="0" borderId="6" xfId="1" applyNumberFormat="1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164" fontId="2" fillId="0" borderId="57" xfId="0" applyNumberFormat="1" applyFont="1" applyBorder="1" applyAlignment="1" applyProtection="1">
      <alignment horizontal="center"/>
    </xf>
    <xf numFmtId="165" fontId="5" fillId="2" borderId="57" xfId="3" applyNumberFormat="1" applyFont="1" applyFill="1" applyBorder="1" applyAlignment="1" applyProtection="1">
      <alignment horizontal="center"/>
      <protection locked="0"/>
    </xf>
    <xf numFmtId="165" fontId="2" fillId="0" borderId="57" xfId="3" applyNumberFormat="1" applyFont="1" applyBorder="1" applyAlignment="1" applyProtection="1">
      <alignment horizontal="center"/>
    </xf>
    <xf numFmtId="10" fontId="5" fillId="2" borderId="57" xfId="0" applyNumberFormat="1" applyFont="1" applyFill="1" applyBorder="1" applyAlignment="1" applyProtection="1">
      <alignment horizontal="center"/>
      <protection locked="0"/>
    </xf>
    <xf numFmtId="0" fontId="5" fillId="2" borderId="57" xfId="0" applyFont="1" applyFill="1" applyBorder="1" applyAlignment="1" applyProtection="1">
      <alignment horizontal="center"/>
      <protection locked="0"/>
    </xf>
    <xf numFmtId="5" fontId="2" fillId="0" borderId="57" xfId="0" applyNumberFormat="1" applyFont="1" applyBorder="1" applyAlignment="1" applyProtection="1">
      <alignment horizontal="center"/>
    </xf>
    <xf numFmtId="39" fontId="2" fillId="0" borderId="58" xfId="1" applyNumberFormat="1" applyFont="1" applyBorder="1" applyAlignment="1" applyProtection="1">
      <alignment horizontal="center"/>
    </xf>
    <xf numFmtId="165" fontId="5" fillId="0" borderId="0" xfId="3" applyNumberFormat="1" applyFont="1" applyFill="1" applyBorder="1" applyAlignment="1" applyProtection="1">
      <alignment horizontal="center"/>
      <protection locked="0"/>
    </xf>
    <xf numFmtId="165" fontId="2" fillId="0" borderId="0" xfId="3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  <protection locked="0"/>
    </xf>
    <xf numFmtId="39" fontId="2" fillId="0" borderId="0" xfId="1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4" fillId="4" borderId="53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0" fontId="5" fillId="5" borderId="2" xfId="3" applyNumberFormat="1" applyFont="1" applyFill="1" applyBorder="1" applyAlignment="1" applyProtection="1">
      <alignment horizontal="center"/>
      <protection locked="0"/>
    </xf>
    <xf numFmtId="44" fontId="2" fillId="0" borderId="6" xfId="2" applyFont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2" fillId="0" borderId="0" xfId="3" applyNumberFormat="1" applyFont="1" applyFill="1" applyBorder="1" applyAlignment="1" applyProtection="1">
      <alignment horizontal="center"/>
    </xf>
    <xf numFmtId="10" fontId="5" fillId="5" borderId="42" xfId="3" applyNumberFormat="1" applyFont="1" applyFill="1" applyBorder="1" applyAlignment="1" applyProtection="1">
      <alignment horizontal="center"/>
      <protection locked="0"/>
    </xf>
    <xf numFmtId="10" fontId="5" fillId="5" borderId="49" xfId="3" applyNumberFormat="1" applyFont="1" applyFill="1" applyBorder="1" applyAlignment="1" applyProtection="1">
      <alignment horizontal="center"/>
      <protection locked="0"/>
    </xf>
    <xf numFmtId="44" fontId="2" fillId="0" borderId="52" xfId="2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0" fontId="2" fillId="0" borderId="2" xfId="3" applyNumberFormat="1" applyFont="1" applyBorder="1" applyAlignment="1" applyProtection="1">
      <alignment horizontal="center"/>
    </xf>
    <xf numFmtId="10" fontId="5" fillId="2" borderId="2" xfId="3" applyNumberFormat="1" applyFont="1" applyFill="1" applyBorder="1" applyAlignment="1" applyProtection="1">
      <alignment horizontal="center"/>
      <protection locked="0"/>
    </xf>
    <xf numFmtId="10" fontId="2" fillId="0" borderId="42" xfId="3" applyNumberFormat="1" applyFont="1" applyBorder="1" applyAlignment="1" applyProtection="1">
      <alignment horizontal="center"/>
    </xf>
    <xf numFmtId="10" fontId="5" fillId="2" borderId="42" xfId="3" applyNumberFormat="1" applyFont="1" applyFill="1" applyBorder="1" applyAlignment="1" applyProtection="1">
      <alignment horizontal="center"/>
      <protection locked="0"/>
    </xf>
    <xf numFmtId="10" fontId="2" fillId="0" borderId="49" xfId="3" applyNumberFormat="1" applyFont="1" applyBorder="1" applyAlignment="1" applyProtection="1">
      <alignment horizontal="center"/>
    </xf>
    <xf numFmtId="10" fontId="5" fillId="2" borderId="49" xfId="3" applyNumberFormat="1" applyFont="1" applyFill="1" applyBorder="1" applyAlignment="1" applyProtection="1">
      <alignment horizontal="center"/>
      <protection locked="0"/>
    </xf>
    <xf numFmtId="164" fontId="2" fillId="0" borderId="58" xfId="0" applyNumberFormat="1" applyFont="1" applyBorder="1" applyAlignment="1" applyProtection="1">
      <alignment horizontal="center"/>
    </xf>
    <xf numFmtId="0" fontId="14" fillId="0" borderId="0" xfId="0" applyFont="1" applyProtection="1"/>
    <xf numFmtId="165" fontId="2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10" fontId="2" fillId="6" borderId="42" xfId="0" applyNumberFormat="1" applyFont="1" applyFill="1" applyBorder="1" applyAlignment="1" applyProtection="1">
      <alignment horizontal="center"/>
    </xf>
    <xf numFmtId="10" fontId="2" fillId="6" borderId="49" xfId="0" applyNumberFormat="1" applyFont="1" applyFill="1" applyBorder="1" applyAlignment="1" applyProtection="1">
      <alignment horizontal="center"/>
    </xf>
    <xf numFmtId="10" fontId="4" fillId="6" borderId="20" xfId="0" applyNumberFormat="1" applyFont="1" applyFill="1" applyBorder="1" applyAlignment="1" applyProtection="1">
      <alignment horizontal="center"/>
    </xf>
    <xf numFmtId="10" fontId="4" fillId="6" borderId="27" xfId="0" applyNumberFormat="1" applyFont="1" applyFill="1" applyBorder="1" applyAlignment="1" applyProtection="1">
      <alignment horizontal="center"/>
    </xf>
    <xf numFmtId="10" fontId="4" fillId="6" borderId="39" xfId="0" applyNumberFormat="1" applyFont="1" applyFill="1" applyBorder="1" applyAlignment="1" applyProtection="1">
      <alignment horizontal="center"/>
    </xf>
    <xf numFmtId="39" fontId="2" fillId="6" borderId="6" xfId="1" applyNumberFormat="1" applyFont="1" applyFill="1" applyBorder="1" applyAlignment="1" applyProtection="1">
      <alignment horizontal="center"/>
    </xf>
    <xf numFmtId="39" fontId="2" fillId="6" borderId="58" xfId="1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4" fillId="4" borderId="59" xfId="0" applyFont="1" applyFill="1" applyBorder="1" applyAlignment="1" applyProtection="1">
      <alignment horizontal="center"/>
    </xf>
    <xf numFmtId="0" fontId="4" fillId="6" borderId="60" xfId="0" applyFont="1" applyFill="1" applyBorder="1" applyAlignment="1" applyProtection="1">
      <alignment horizontal="center"/>
    </xf>
    <xf numFmtId="0" fontId="4" fillId="4" borderId="61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164" fontId="22" fillId="0" borderId="5" xfId="0" applyNumberFormat="1" applyFont="1" applyBorder="1" applyAlignment="1" applyProtection="1">
      <alignment horizontal="center"/>
      <protection locked="0"/>
    </xf>
    <xf numFmtId="166" fontId="2" fillId="0" borderId="6" xfId="0" applyNumberFormat="1" applyFont="1" applyBorder="1" applyAlignment="1" applyProtection="1">
      <alignment horizontal="center"/>
      <protection locked="0"/>
    </xf>
    <xf numFmtId="164" fontId="22" fillId="0" borderId="6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22" fillId="0" borderId="5" xfId="0" applyNumberFormat="1" applyFont="1" applyBorder="1" applyAlignment="1" applyProtection="1">
      <alignment horizontal="center"/>
    </xf>
    <xf numFmtId="1" fontId="4" fillId="4" borderId="8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  <xf numFmtId="166" fontId="4" fillId="4" borderId="8" xfId="0" applyNumberFormat="1" applyFont="1" applyFill="1" applyBorder="1" applyAlignment="1" applyProtection="1">
      <alignment horizontal="center"/>
    </xf>
    <xf numFmtId="166" fontId="4" fillId="4" borderId="57" xfId="0" applyNumberFormat="1" applyFont="1" applyFill="1" applyBorder="1" applyAlignment="1" applyProtection="1">
      <alignment horizontal="center"/>
    </xf>
    <xf numFmtId="0" fontId="23" fillId="4" borderId="62" xfId="0" applyFont="1" applyFill="1" applyBorder="1" applyAlignment="1" applyProtection="1">
      <alignment horizontal="center" wrapText="1"/>
      <protection locked="0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23" fillId="6" borderId="11" xfId="0" applyFont="1" applyFill="1" applyBorder="1" applyAlignment="1" applyProtection="1">
      <alignment horizontal="center" wrapText="1"/>
    </xf>
    <xf numFmtId="0" fontId="24" fillId="4" borderId="11" xfId="0" applyFont="1" applyFill="1" applyBorder="1" applyAlignment="1" applyProtection="1">
      <alignment horizontal="center" wrapText="1"/>
      <protection locked="0"/>
    </xf>
    <xf numFmtId="0" fontId="24" fillId="4" borderId="63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Protection="1"/>
    <xf numFmtId="0" fontId="2" fillId="0" borderId="41" xfId="0" applyFont="1" applyBorder="1" applyProtection="1"/>
    <xf numFmtId="164" fontId="2" fillId="0" borderId="47" xfId="0" applyNumberFormat="1" applyFont="1" applyBorder="1" applyAlignment="1" applyProtection="1">
      <alignment horizontal="center"/>
    </xf>
    <xf numFmtId="5" fontId="3" fillId="0" borderId="0" xfId="0" quotePrefix="1" applyNumberFormat="1" applyFont="1" applyFill="1" applyBorder="1" applyAlignment="1" applyProtection="1">
      <alignment horizontal="center"/>
    </xf>
    <xf numFmtId="5" fontId="3" fillId="0" borderId="42" xfId="0" quotePrefix="1" applyNumberFormat="1" applyFont="1" applyFill="1" applyBorder="1" applyAlignment="1" applyProtection="1">
      <alignment horizontal="center"/>
    </xf>
    <xf numFmtId="164" fontId="2" fillId="0" borderId="41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5" fontId="25" fillId="0" borderId="47" xfId="0" applyNumberFormat="1" applyFont="1" applyBorder="1" applyAlignment="1" applyProtection="1">
      <alignment horizontal="center"/>
    </xf>
    <xf numFmtId="10" fontId="3" fillId="0" borderId="42" xfId="0" applyNumberFormat="1" applyFont="1" applyBorder="1" applyProtection="1"/>
    <xf numFmtId="5" fontId="3" fillId="0" borderId="0" xfId="0" applyNumberFormat="1" applyFont="1" applyFill="1" applyBorder="1" applyAlignment="1" applyProtection="1">
      <alignment horizontal="center"/>
    </xf>
    <xf numFmtId="10" fontId="3" fillId="0" borderId="42" xfId="0" applyNumberFormat="1" applyFont="1" applyFill="1" applyBorder="1" applyAlignment="1" applyProtection="1">
      <alignment horizontal="center"/>
    </xf>
    <xf numFmtId="5" fontId="25" fillId="0" borderId="41" xfId="0" applyNumberFormat="1" applyFont="1" applyBorder="1" applyAlignment="1" applyProtection="1">
      <alignment horizontal="center"/>
    </xf>
    <xf numFmtId="10" fontId="25" fillId="0" borderId="6" xfId="5" applyNumberFormat="1" applyFont="1" applyBorder="1" applyAlignment="1" applyProtection="1">
      <alignment horizontal="center"/>
    </xf>
    <xf numFmtId="164" fontId="2" fillId="0" borderId="41" xfId="0" applyNumberFormat="1" applyFont="1" applyBorder="1" applyProtection="1"/>
    <xf numFmtId="5" fontId="2" fillId="0" borderId="42" xfId="0" applyNumberFormat="1" applyFont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/>
    </xf>
    <xf numFmtId="5" fontId="2" fillId="0" borderId="42" xfId="0" applyNumberFormat="1" applyFont="1" applyFill="1" applyBorder="1" applyAlignment="1" applyProtection="1">
      <alignment horizontal="center"/>
    </xf>
    <xf numFmtId="5" fontId="2" fillId="0" borderId="41" xfId="0" applyNumberFormat="1" applyFont="1" applyFill="1" applyBorder="1" applyAlignment="1" applyProtection="1">
      <alignment horizontal="center"/>
    </xf>
    <xf numFmtId="0" fontId="2" fillId="0" borderId="41" xfId="0" applyFont="1" applyBorder="1" applyAlignment="1" applyProtection="1">
      <alignment vertical="center"/>
    </xf>
    <xf numFmtId="164" fontId="22" fillId="0" borderId="47" xfId="0" applyNumberFormat="1" applyFont="1" applyBorder="1" applyAlignment="1" applyProtection="1">
      <alignment horizontal="center" vertical="center"/>
      <protection locked="0"/>
    </xf>
    <xf numFmtId="5" fontId="22" fillId="0" borderId="18" xfId="0" applyNumberFormat="1" applyFont="1" applyFill="1" applyBorder="1" applyAlignment="1" applyProtection="1">
      <alignment horizontal="center" vertical="center"/>
    </xf>
    <xf numFmtId="5" fontId="22" fillId="0" borderId="64" xfId="0" applyNumberFormat="1" applyFont="1" applyFill="1" applyBorder="1" applyAlignment="1" applyProtection="1">
      <alignment horizontal="center" vertical="center"/>
    </xf>
    <xf numFmtId="164" fontId="22" fillId="0" borderId="6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4" fillId="4" borderId="66" xfId="0" applyFont="1" applyFill="1" applyBorder="1" applyProtection="1"/>
    <xf numFmtId="164" fontId="4" fillId="4" borderId="67" xfId="0" applyNumberFormat="1" applyFont="1" applyFill="1" applyBorder="1" applyAlignment="1" applyProtection="1">
      <alignment horizontal="center"/>
    </xf>
    <xf numFmtId="5" fontId="4" fillId="4" borderId="1" xfId="0" applyNumberFormat="1" applyFont="1" applyFill="1" applyBorder="1" applyAlignment="1" applyProtection="1">
      <alignment horizontal="center"/>
    </xf>
    <xf numFmtId="5" fontId="4" fillId="4" borderId="25" xfId="0" applyNumberFormat="1" applyFont="1" applyFill="1" applyBorder="1" applyAlignment="1" applyProtection="1">
      <alignment horizontal="center"/>
      <protection locked="0"/>
    </xf>
    <xf numFmtId="5" fontId="4" fillId="4" borderId="1" xfId="0" applyNumberFormat="1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Protection="1"/>
    <xf numFmtId="0" fontId="2" fillId="0" borderId="47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41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right"/>
    </xf>
    <xf numFmtId="164" fontId="22" fillId="0" borderId="47" xfId="0" applyNumberFormat="1" applyFont="1" applyBorder="1" applyAlignment="1" applyProtection="1">
      <alignment horizontal="center"/>
      <protection locked="0"/>
    </xf>
    <xf numFmtId="5" fontId="22" fillId="0" borderId="42" xfId="0" applyNumberFormat="1" applyFont="1" applyBorder="1" applyAlignment="1" applyProtection="1">
      <alignment horizontal="center"/>
    </xf>
    <xf numFmtId="5" fontId="22" fillId="0" borderId="0" xfId="0" applyNumberFormat="1" applyFont="1" applyFill="1" applyBorder="1" applyAlignment="1" applyProtection="1">
      <alignment horizontal="center"/>
      <protection locked="0"/>
    </xf>
    <xf numFmtId="5" fontId="22" fillId="0" borderId="42" xfId="0" applyNumberFormat="1" applyFont="1" applyFill="1" applyBorder="1" applyAlignment="1" applyProtection="1">
      <alignment horizontal="center"/>
      <protection locked="0"/>
    </xf>
    <xf numFmtId="5" fontId="2" fillId="0" borderId="0" xfId="6" applyNumberFormat="1" applyFont="1" applyAlignment="1" applyProtection="1">
      <alignment horizontal="right"/>
    </xf>
    <xf numFmtId="164" fontId="22" fillId="0" borderId="42" xfId="0" applyNumberFormat="1" applyFont="1" applyBorder="1" applyAlignment="1" applyProtection="1">
      <alignment horizontal="center"/>
      <protection locked="0"/>
    </xf>
    <xf numFmtId="164" fontId="2" fillId="0" borderId="42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Fill="1" applyBorder="1" applyAlignment="1" applyProtection="1">
      <alignment horizontal="center"/>
      <protection locked="0"/>
    </xf>
    <xf numFmtId="164" fontId="22" fillId="0" borderId="47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5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Border="1" applyAlignment="1" applyProtection="1">
      <alignment horizontal="right"/>
    </xf>
    <xf numFmtId="5" fontId="4" fillId="0" borderId="0" xfId="7" applyNumberFormat="1" applyFont="1" applyFill="1" applyBorder="1" applyAlignment="1" applyProtection="1">
      <alignment horizontal="right"/>
    </xf>
    <xf numFmtId="164" fontId="2" fillId="0" borderId="41" xfId="0" applyNumberFormat="1" applyFont="1" applyBorder="1" applyAlignment="1" applyProtection="1">
      <alignment horizontal="left"/>
    </xf>
    <xf numFmtId="164" fontId="4" fillId="0" borderId="47" xfId="0" applyNumberFormat="1" applyFont="1" applyBorder="1" applyAlignment="1" applyProtection="1">
      <alignment horizontal="center"/>
    </xf>
    <xf numFmtId="9" fontId="4" fillId="0" borderId="47" xfId="5" applyFont="1" applyBorder="1" applyAlignment="1" applyProtection="1">
      <alignment horizontal="center"/>
    </xf>
    <xf numFmtId="5" fontId="4" fillId="0" borderId="42" xfId="0" applyNumberFormat="1" applyFont="1" applyBorder="1" applyAlignment="1" applyProtection="1">
      <alignment horizontal="center"/>
    </xf>
    <xf numFmtId="5" fontId="4" fillId="0" borderId="0" xfId="0" applyNumberFormat="1" applyFont="1" applyFill="1" applyBorder="1" applyAlignment="1" applyProtection="1">
      <alignment horizontal="center"/>
    </xf>
    <xf numFmtId="9" fontId="4" fillId="0" borderId="42" xfId="5" applyFont="1" applyFill="1" applyBorder="1" applyAlignment="1" applyProtection="1">
      <alignment horizontal="center"/>
    </xf>
    <xf numFmtId="5" fontId="4" fillId="0" borderId="42" xfId="0" applyNumberFormat="1" applyFont="1" applyFill="1" applyBorder="1" applyAlignment="1" applyProtection="1">
      <alignment horizontal="center"/>
    </xf>
    <xf numFmtId="9" fontId="2" fillId="0" borderId="6" xfId="5" applyFont="1" applyBorder="1" applyAlignment="1" applyProtection="1">
      <alignment horizontal="center"/>
    </xf>
    <xf numFmtId="7" fontId="2" fillId="0" borderId="0" xfId="6" applyNumberFormat="1" applyFont="1" applyAlignment="1" applyProtection="1">
      <alignment horizontal="right"/>
    </xf>
    <xf numFmtId="5" fontId="2" fillId="0" borderId="0" xfId="7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7" fontId="2" fillId="0" borderId="0" xfId="7" applyNumberFormat="1" applyFont="1" applyFill="1" applyBorder="1" applyAlignment="1" applyProtection="1">
      <alignment horizontal="right"/>
    </xf>
    <xf numFmtId="166" fontId="2" fillId="0" borderId="47" xfId="0" applyNumberFormat="1" applyFont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42" xfId="0" applyNumberFormat="1" applyFont="1" applyFill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4" fillId="4" borderId="68" xfId="0" applyFont="1" applyFill="1" applyBorder="1" applyProtection="1"/>
    <xf numFmtId="5" fontId="4" fillId="4" borderId="69" xfId="0" applyNumberFormat="1" applyFont="1" applyFill="1" applyBorder="1" applyAlignment="1" applyProtection="1">
      <alignment horizontal="center"/>
    </xf>
    <xf numFmtId="5" fontId="4" fillId="4" borderId="70" xfId="0" applyNumberFormat="1" applyFont="1" applyFill="1" applyBorder="1" applyAlignment="1" applyProtection="1">
      <alignment horizontal="center"/>
    </xf>
    <xf numFmtId="5" fontId="4" fillId="4" borderId="30" xfId="0" applyNumberFormat="1" applyFont="1" applyFill="1" applyBorder="1" applyAlignment="1" applyProtection="1">
      <alignment horizontal="center"/>
    </xf>
    <xf numFmtId="0" fontId="4" fillId="4" borderId="27" xfId="0" applyFont="1" applyFill="1" applyBorder="1" applyProtection="1"/>
    <xf numFmtId="5" fontId="2" fillId="0" borderId="0" xfId="6" applyNumberFormat="1" applyFont="1" applyFill="1" applyAlignment="1" applyProtection="1">
      <alignment horizontal="right"/>
    </xf>
    <xf numFmtId="7" fontId="2" fillId="0" borderId="0" xfId="6" applyNumberFormat="1" applyFont="1" applyFill="1" applyAlignment="1" applyProtection="1">
      <alignment horizontal="right"/>
    </xf>
    <xf numFmtId="0" fontId="4" fillId="0" borderId="71" xfId="0" applyFont="1" applyFill="1" applyBorder="1" applyProtection="1"/>
    <xf numFmtId="0" fontId="4" fillId="0" borderId="72" xfId="0" applyFont="1" applyFill="1" applyBorder="1" applyProtection="1"/>
    <xf numFmtId="164" fontId="4" fillId="0" borderId="72" xfId="0" applyNumberFormat="1" applyFont="1" applyFill="1" applyBorder="1" applyProtection="1"/>
    <xf numFmtId="0" fontId="4" fillId="0" borderId="73" xfId="0" applyFont="1" applyFill="1" applyBorder="1" applyProtection="1"/>
    <xf numFmtId="37" fontId="2" fillId="0" borderId="74" xfId="0" applyNumberFormat="1" applyFont="1" applyFill="1" applyBorder="1" applyAlignment="1" applyProtection="1">
      <alignment horizontal="center"/>
    </xf>
    <xf numFmtId="37" fontId="2" fillId="0" borderId="47" xfId="0" applyNumberFormat="1" applyFont="1" applyFill="1" applyBorder="1" applyAlignment="1" applyProtection="1">
      <alignment horizontal="center"/>
    </xf>
    <xf numFmtId="37" fontId="2" fillId="0" borderId="42" xfId="0" applyNumberFormat="1" applyFont="1" applyBorder="1" applyAlignment="1" applyProtection="1">
      <alignment horizontal="center"/>
    </xf>
    <xf numFmtId="37" fontId="2" fillId="0" borderId="72" xfId="0" applyNumberFormat="1" applyFont="1" applyFill="1" applyBorder="1" applyAlignment="1" applyProtection="1">
      <alignment horizontal="center"/>
    </xf>
    <xf numFmtId="37" fontId="2" fillId="0" borderId="42" xfId="0" applyNumberFormat="1" applyFont="1" applyFill="1" applyBorder="1" applyAlignment="1" applyProtection="1">
      <alignment horizontal="center"/>
    </xf>
    <xf numFmtId="0" fontId="4" fillId="0" borderId="66" xfId="0" applyFont="1" applyFill="1" applyBorder="1" applyProtection="1"/>
    <xf numFmtId="5" fontId="4" fillId="0" borderId="67" xfId="0" applyNumberFormat="1" applyFont="1" applyFill="1" applyBorder="1" applyAlignment="1" applyProtection="1">
      <alignment horizontal="center"/>
    </xf>
    <xf numFmtId="5" fontId="4" fillId="0" borderId="1" xfId="0" applyNumberFormat="1" applyFont="1" applyBorder="1" applyAlignment="1" applyProtection="1">
      <alignment horizontal="center"/>
    </xf>
    <xf numFmtId="5" fontId="4" fillId="0" borderId="25" xfId="0" applyNumberFormat="1" applyFont="1" applyFill="1" applyBorder="1" applyAlignment="1" applyProtection="1">
      <alignment horizontal="center"/>
    </xf>
    <xf numFmtId="5" fontId="4" fillId="0" borderId="1" xfId="0" applyNumberFormat="1" applyFont="1" applyFill="1" applyBorder="1" applyAlignment="1" applyProtection="1">
      <alignment horizontal="center"/>
    </xf>
    <xf numFmtId="10" fontId="4" fillId="0" borderId="67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10" fontId="4" fillId="0" borderId="25" xfId="0" applyNumberFormat="1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/>
    </xf>
    <xf numFmtId="0" fontId="4" fillId="0" borderId="58" xfId="0" applyFont="1" applyBorder="1" applyProtection="1"/>
    <xf numFmtId="0" fontId="28" fillId="0" borderId="17" xfId="0" applyFont="1" applyFill="1" applyBorder="1" applyProtection="1"/>
    <xf numFmtId="0" fontId="28" fillId="0" borderId="18" xfId="0" applyFont="1" applyFill="1" applyBorder="1" applyProtection="1"/>
    <xf numFmtId="0" fontId="28" fillId="0" borderId="65" xfId="0" applyFont="1" applyFill="1" applyBorder="1" applyProtection="1"/>
    <xf numFmtId="5" fontId="28" fillId="0" borderId="75" xfId="0" applyNumberFormat="1" applyFont="1" applyFill="1" applyBorder="1" applyAlignment="1" applyProtection="1">
      <alignment horizontal="center"/>
    </xf>
    <xf numFmtId="5" fontId="28" fillId="0" borderId="64" xfId="0" applyNumberFormat="1" applyFont="1" applyBorder="1" applyAlignment="1" applyProtection="1">
      <alignment horizontal="center"/>
    </xf>
    <xf numFmtId="5" fontId="28" fillId="0" borderId="18" xfId="0" applyNumberFormat="1" applyFont="1" applyFill="1" applyBorder="1" applyAlignment="1" applyProtection="1">
      <alignment horizontal="center"/>
    </xf>
    <xf numFmtId="5" fontId="28" fillId="0" borderId="64" xfId="0" applyNumberFormat="1" applyFont="1" applyFill="1" applyBorder="1" applyAlignment="1" applyProtection="1">
      <alignment horizontal="center"/>
    </xf>
    <xf numFmtId="5" fontId="28" fillId="0" borderId="1" xfId="0" applyNumberFormat="1" applyFont="1" applyFill="1" applyBorder="1" applyAlignment="1" applyProtection="1">
      <alignment horizontal="center"/>
    </xf>
    <xf numFmtId="0" fontId="28" fillId="0" borderId="24" xfId="0" applyFont="1" applyFill="1" applyBorder="1" applyProtection="1"/>
    <xf numFmtId="0" fontId="28" fillId="0" borderId="25" xfId="0" applyFont="1" applyFill="1" applyBorder="1" applyProtection="1"/>
    <xf numFmtId="0" fontId="28" fillId="0" borderId="66" xfId="0" applyFont="1" applyFill="1" applyBorder="1" applyProtection="1"/>
    <xf numFmtId="5" fontId="28" fillId="0" borderId="67" xfId="0" applyNumberFormat="1" applyFont="1" applyFill="1" applyBorder="1" applyAlignment="1" applyProtection="1">
      <alignment horizontal="center"/>
    </xf>
    <xf numFmtId="5" fontId="28" fillId="0" borderId="25" xfId="0" applyNumberFormat="1" applyFont="1" applyFill="1" applyBorder="1" applyAlignment="1" applyProtection="1">
      <alignment horizontal="center"/>
    </xf>
    <xf numFmtId="0" fontId="28" fillId="0" borderId="56" xfId="0" applyFont="1" applyFill="1" applyBorder="1" applyProtection="1"/>
    <xf numFmtId="0" fontId="28" fillId="0" borderId="57" xfId="0" applyFont="1" applyFill="1" applyBorder="1" applyProtection="1"/>
    <xf numFmtId="0" fontId="28" fillId="0" borderId="50" xfId="0" applyFont="1" applyFill="1" applyBorder="1" applyProtection="1"/>
    <xf numFmtId="10" fontId="28" fillId="0" borderId="51" xfId="0" applyNumberFormat="1" applyFont="1" applyFill="1" applyBorder="1" applyAlignment="1" applyProtection="1">
      <alignment horizontal="center"/>
    </xf>
    <xf numFmtId="10" fontId="28" fillId="0" borderId="57" xfId="0" applyNumberFormat="1" applyFont="1" applyFill="1" applyBorder="1" applyAlignment="1" applyProtection="1">
      <alignment horizontal="center"/>
    </xf>
    <xf numFmtId="10" fontId="28" fillId="0" borderId="49" xfId="0" applyNumberFormat="1" applyFont="1" applyFill="1" applyBorder="1" applyAlignment="1" applyProtection="1">
      <alignment horizontal="center"/>
    </xf>
    <xf numFmtId="4" fontId="2" fillId="0" borderId="0" xfId="0" applyNumberFormat="1" applyFont="1" applyProtection="1"/>
    <xf numFmtId="169" fontId="2" fillId="0" borderId="0" xfId="5" applyNumberFormat="1" applyFont="1" applyProtection="1"/>
    <xf numFmtId="0" fontId="12" fillId="4" borderId="56" xfId="0" applyFont="1" applyFill="1" applyBorder="1" applyProtection="1"/>
    <xf numFmtId="164" fontId="21" fillId="4" borderId="49" xfId="0" applyNumberFormat="1" applyFont="1" applyFill="1" applyBorder="1" applyAlignment="1" applyProtection="1">
      <alignment horizontal="center"/>
    </xf>
    <xf numFmtId="164" fontId="4" fillId="4" borderId="50" xfId="0" applyNumberFormat="1" applyFont="1" applyFill="1" applyBorder="1" applyAlignment="1" applyProtection="1">
      <alignment horizontal="center"/>
    </xf>
    <xf numFmtId="166" fontId="4" fillId="4" borderId="50" xfId="0" applyNumberFormat="1" applyFont="1" applyFill="1" applyBorder="1" applyAlignment="1" applyProtection="1">
      <alignment horizontal="center"/>
    </xf>
    <xf numFmtId="10" fontId="4" fillId="4" borderId="51" xfId="0" applyNumberFormat="1" applyFont="1" applyFill="1" applyBorder="1" applyAlignment="1" applyProtection="1">
      <alignment horizontal="center"/>
      <protection locked="0"/>
    </xf>
    <xf numFmtId="10" fontId="4" fillId="4" borderId="49" xfId="0" applyNumberFormat="1" applyFont="1" applyFill="1" applyBorder="1" applyAlignment="1" applyProtection="1">
      <alignment horizontal="center"/>
    </xf>
    <xf numFmtId="10" fontId="4" fillId="4" borderId="57" xfId="0" applyNumberFormat="1" applyFont="1" applyFill="1" applyBorder="1" applyAlignment="1" applyProtection="1">
      <alignment horizontal="center"/>
    </xf>
    <xf numFmtId="169" fontId="2" fillId="0" borderId="0" xfId="5" applyNumberFormat="1" applyFont="1" applyFill="1" applyProtection="1"/>
    <xf numFmtId="0" fontId="15" fillId="0" borderId="13" xfId="0" applyFont="1" applyBorder="1" applyProtection="1"/>
    <xf numFmtId="164" fontId="22" fillId="0" borderId="42" xfId="0" applyNumberFormat="1" applyFont="1" applyBorder="1" applyAlignment="1" applyProtection="1">
      <alignment horizontal="center"/>
    </xf>
    <xf numFmtId="10" fontId="2" fillId="0" borderId="47" xfId="0" applyNumberFormat="1" applyFont="1" applyBorder="1" applyAlignment="1" applyProtection="1">
      <alignment horizontal="center"/>
      <protection locked="0"/>
    </xf>
    <xf numFmtId="10" fontId="2" fillId="0" borderId="0" xfId="0" applyNumberFormat="1" applyFont="1" applyFill="1" applyBorder="1" applyAlignment="1" applyProtection="1">
      <alignment horizontal="center"/>
    </xf>
    <xf numFmtId="10" fontId="2" fillId="0" borderId="42" xfId="0" applyNumberFormat="1" applyFont="1" applyFill="1" applyBorder="1" applyAlignment="1" applyProtection="1">
      <alignment horizontal="center"/>
    </xf>
    <xf numFmtId="0" fontId="15" fillId="0" borderId="56" xfId="0" applyFont="1" applyBorder="1" applyProtection="1"/>
    <xf numFmtId="164" fontId="22" fillId="0" borderId="49" xfId="0" applyNumberFormat="1" applyFont="1" applyBorder="1" applyAlignment="1" applyProtection="1">
      <alignment horizontal="center"/>
    </xf>
    <xf numFmtId="10" fontId="2" fillId="0" borderId="51" xfId="0" applyNumberFormat="1" applyFont="1" applyBorder="1" applyAlignment="1" applyProtection="1">
      <alignment horizontal="center"/>
      <protection locked="0"/>
    </xf>
    <xf numFmtId="10" fontId="2" fillId="0" borderId="57" xfId="0" applyNumberFormat="1" applyFont="1" applyFill="1" applyBorder="1" applyAlignment="1" applyProtection="1">
      <alignment horizontal="center"/>
    </xf>
    <xf numFmtId="10" fontId="2" fillId="0" borderId="49" xfId="0" applyNumberFormat="1" applyFont="1" applyFill="1" applyBorder="1" applyAlignment="1" applyProtection="1">
      <alignment horizontal="center"/>
    </xf>
    <xf numFmtId="0" fontId="4" fillId="7" borderId="43" xfId="0" applyFont="1" applyFill="1" applyBorder="1" applyAlignment="1" applyProtection="1">
      <alignment horizontal="center"/>
    </xf>
    <xf numFmtId="0" fontId="4" fillId="7" borderId="61" xfId="0" applyFont="1" applyFill="1" applyBorder="1" applyAlignment="1" applyProtection="1">
      <alignment horizontal="center"/>
    </xf>
    <xf numFmtId="0" fontId="4" fillId="7" borderId="61" xfId="0" applyFont="1" applyFill="1" applyBorder="1" applyAlignment="1" applyProtection="1">
      <alignment horizontal="center" wrapText="1"/>
    </xf>
    <xf numFmtId="0" fontId="4" fillId="6" borderId="61" xfId="0" applyFont="1" applyFill="1" applyBorder="1" applyAlignment="1" applyProtection="1">
      <alignment horizontal="center" wrapText="1"/>
    </xf>
    <xf numFmtId="0" fontId="4" fillId="6" borderId="60" xfId="0" applyFont="1" applyFill="1" applyBorder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  <protection locked="0"/>
    </xf>
    <xf numFmtId="9" fontId="22" fillId="0" borderId="0" xfId="5" applyFont="1" applyBorder="1" applyAlignment="1" applyProtection="1">
      <alignment horizontal="center"/>
    </xf>
    <xf numFmtId="170" fontId="22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  <protection locked="0"/>
    </xf>
    <xf numFmtId="9" fontId="22" fillId="0" borderId="57" xfId="5" applyFont="1" applyBorder="1" applyAlignment="1" applyProtection="1">
      <alignment horizontal="center"/>
    </xf>
    <xf numFmtId="170" fontId="22" fillId="0" borderId="57" xfId="0" applyNumberFormat="1" applyFont="1" applyBorder="1" applyAlignment="1" applyProtection="1">
      <alignment horizontal="center"/>
      <protection locked="0"/>
    </xf>
    <xf numFmtId="0" fontId="22" fillId="0" borderId="57" xfId="0" applyFont="1" applyBorder="1" applyAlignment="1" applyProtection="1">
      <alignment horizontal="center"/>
      <protection locked="0"/>
    </xf>
    <xf numFmtId="7" fontId="2" fillId="0" borderId="57" xfId="0" applyNumberFormat="1" applyFont="1" applyBorder="1" applyAlignment="1" applyProtection="1">
      <alignment horizontal="center"/>
    </xf>
    <xf numFmtId="0" fontId="2" fillId="0" borderId="58" xfId="0" applyFont="1" applyFill="1" applyBorder="1" applyAlignment="1" applyProtection="1">
      <alignment horizontal="center"/>
    </xf>
    <xf numFmtId="2" fontId="2" fillId="0" borderId="58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</xf>
    <xf numFmtId="9" fontId="2" fillId="0" borderId="47" xfId="4" applyFont="1" applyBorder="1" applyAlignment="1" applyProtection="1">
      <alignment horizontal="center"/>
    </xf>
    <xf numFmtId="9" fontId="2" fillId="0" borderId="47" xfId="4" applyFont="1" applyBorder="1" applyAlignment="1" applyProtection="1">
      <alignment horizontal="center"/>
      <protection locked="0"/>
    </xf>
    <xf numFmtId="9" fontId="2" fillId="0" borderId="42" xfId="4" applyFont="1" applyFill="1" applyBorder="1" applyAlignment="1" applyProtection="1">
      <alignment horizontal="center"/>
      <protection locked="0"/>
    </xf>
    <xf numFmtId="9" fontId="25" fillId="0" borderId="0" xfId="4" applyFont="1" applyFill="1" applyBorder="1" applyAlignment="1" applyProtection="1">
      <alignment horizontal="center"/>
      <protection locked="0"/>
    </xf>
    <xf numFmtId="9" fontId="25" fillId="0" borderId="41" xfId="4" applyFont="1" applyFill="1" applyBorder="1" applyAlignment="1" applyProtection="1">
      <alignment horizontal="center"/>
      <protection locked="0"/>
    </xf>
    <xf numFmtId="9" fontId="2" fillId="0" borderId="6" xfId="4" applyFont="1" applyBorder="1" applyAlignment="1" applyProtection="1">
      <alignment horizontal="center"/>
    </xf>
    <xf numFmtId="9" fontId="25" fillId="0" borderId="6" xfId="4" applyFont="1" applyBorder="1" applyAlignment="1" applyProtection="1">
      <alignment horizontal="center"/>
    </xf>
    <xf numFmtId="2" fontId="4" fillId="4" borderId="51" xfId="0" applyNumberFormat="1" applyFont="1" applyFill="1" applyBorder="1" applyAlignment="1" applyProtection="1">
      <alignment horizontal="center"/>
      <protection locked="0"/>
    </xf>
    <xf numFmtId="2" fontId="2" fillId="0" borderId="47" xfId="0" applyNumberFormat="1" applyFont="1" applyBorder="1" applyAlignment="1" applyProtection="1">
      <alignment horizontal="center"/>
      <protection locked="0"/>
    </xf>
    <xf numFmtId="2" fontId="2" fillId="0" borderId="51" xfId="0" applyNumberFormat="1" applyFont="1" applyBorder="1" applyAlignment="1" applyProtection="1">
      <alignment horizontal="center"/>
      <protection locked="0"/>
    </xf>
    <xf numFmtId="2" fontId="4" fillId="4" borderId="49" xfId="0" applyNumberFormat="1" applyFont="1" applyFill="1" applyBorder="1" applyAlignment="1" applyProtection="1">
      <alignment horizontal="center"/>
    </xf>
    <xf numFmtId="2" fontId="2" fillId="0" borderId="42" xfId="0" applyNumberFormat="1" applyFont="1" applyFill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0" xfId="0" applyFont="1" applyBorder="1" applyProtection="1"/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2" fontId="4" fillId="4" borderId="58" xfId="0" applyNumberFormat="1" applyFont="1" applyFill="1" applyBorder="1" applyAlignment="1" applyProtection="1">
      <alignment horizontal="center"/>
    </xf>
    <xf numFmtId="44" fontId="4" fillId="4" borderId="10" xfId="0" applyNumberFormat="1" applyFont="1" applyFill="1" applyBorder="1" applyAlignment="1" applyProtection="1">
      <alignment horizontal="center" wrapText="1"/>
    </xf>
    <xf numFmtId="44" fontId="4" fillId="4" borderId="12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8">
    <cellStyle name="Comma 2" xfId="1"/>
    <cellStyle name="Comma 3" xfId="6"/>
    <cellStyle name="Currency 2" xfId="2"/>
    <cellStyle name="Currency 3" xfId="7"/>
    <cellStyle name="Normal" xfId="0" builtinId="0"/>
    <cellStyle name="Percent" xfId="4" builtinId="5"/>
    <cellStyle name="Percent 2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165"/>
  <sheetViews>
    <sheetView showGridLines="0" topLeftCell="A49" zoomScale="80" zoomScaleNormal="80" workbookViewId="0">
      <selection activeCell="A131" sqref="A131"/>
    </sheetView>
  </sheetViews>
  <sheetFormatPr defaultRowHeight="15.75" outlineLevelRow="1" x14ac:dyDescent="0.25"/>
  <cols>
    <col min="1" max="1" width="21.28515625" style="1" customWidth="1"/>
    <col min="2" max="2" width="22.42578125" style="1" bestFit="1" customWidth="1"/>
    <col min="3" max="3" width="17.28515625" style="1" customWidth="1"/>
    <col min="4" max="4" width="18.7109375" style="1" customWidth="1"/>
    <col min="5" max="5" width="17.7109375" style="2" customWidth="1"/>
    <col min="6" max="6" width="16.140625" style="2" customWidth="1"/>
    <col min="7" max="7" width="17.7109375" style="2" customWidth="1"/>
    <col min="8" max="8" width="16.140625" style="2" customWidth="1"/>
    <col min="9" max="9" width="17.7109375" style="2" customWidth="1"/>
    <col min="10" max="10" width="16.140625" style="3" customWidth="1"/>
    <col min="11" max="11" width="17.42578125" style="2" customWidth="1"/>
    <col min="12" max="12" width="16.42578125" style="2" bestFit="1" customWidth="1"/>
    <col min="13" max="14" width="9.140625" style="1"/>
    <col min="15" max="15" width="11.5703125" style="1" customWidth="1"/>
    <col min="16" max="17" width="9.140625" style="1"/>
    <col min="18" max="18" width="11.85546875" style="1" customWidth="1"/>
    <col min="19" max="19" width="9.28515625" style="1" customWidth="1"/>
    <col min="20" max="16384" width="9.140625" style="1"/>
  </cols>
  <sheetData>
    <row r="1" spans="1:9" x14ac:dyDescent="0.25">
      <c r="E1" s="1"/>
    </row>
    <row r="2" spans="1:9" ht="16.5" x14ac:dyDescent="0.3">
      <c r="A2" s="4" t="s">
        <v>0</v>
      </c>
      <c r="B2" s="4"/>
      <c r="E2" s="1"/>
    </row>
    <row r="3" spans="1:9" ht="16.5" x14ac:dyDescent="0.3">
      <c r="A3" s="4"/>
      <c r="B3" s="4"/>
      <c r="E3" s="1"/>
    </row>
    <row r="4" spans="1:9" ht="16.5" x14ac:dyDescent="0.3">
      <c r="A4" s="5" t="s">
        <v>1</v>
      </c>
      <c r="B4" s="6"/>
      <c r="C4" s="7" t="s">
        <v>2</v>
      </c>
      <c r="E4" s="1"/>
    </row>
    <row r="5" spans="1:9" ht="16.5" x14ac:dyDescent="0.3">
      <c r="A5" s="5" t="s">
        <v>3</v>
      </c>
      <c r="B5" s="6"/>
      <c r="C5" s="7" t="s">
        <v>2</v>
      </c>
      <c r="E5" s="1"/>
    </row>
    <row r="6" spans="1:9" ht="16.5" x14ac:dyDescent="0.3">
      <c r="A6" s="5"/>
      <c r="B6" s="6"/>
      <c r="C6" s="8"/>
      <c r="E6" s="1"/>
    </row>
    <row r="7" spans="1:9" ht="16.5" x14ac:dyDescent="0.3">
      <c r="A7" s="5" t="s">
        <v>4</v>
      </c>
      <c r="B7" s="6"/>
      <c r="C7" s="9">
        <f>76230+52707</f>
        <v>128937</v>
      </c>
      <c r="E7" s="1"/>
    </row>
    <row r="8" spans="1:9" ht="16.5" x14ac:dyDescent="0.3">
      <c r="A8" s="5" t="s">
        <v>5</v>
      </c>
      <c r="B8" s="6"/>
      <c r="C8" s="9">
        <f>3480+25416</f>
        <v>28896</v>
      </c>
      <c r="E8" s="1"/>
    </row>
    <row r="9" spans="1:9" ht="16.5" x14ac:dyDescent="0.3">
      <c r="A9" s="5"/>
      <c r="B9" s="6"/>
      <c r="C9" s="10"/>
      <c r="E9" s="1"/>
    </row>
    <row r="10" spans="1:9" ht="16.5" x14ac:dyDescent="0.3">
      <c r="A10" s="5" t="s">
        <v>6</v>
      </c>
      <c r="B10" s="6"/>
      <c r="C10" s="11" t="s">
        <v>7</v>
      </c>
      <c r="E10" s="11" t="s">
        <v>8</v>
      </c>
      <c r="G10" s="11" t="s">
        <v>9</v>
      </c>
    </row>
    <row r="11" spans="1:9" ht="16.5" x14ac:dyDescent="0.3">
      <c r="A11" s="5"/>
      <c r="B11" s="6" t="s">
        <v>10</v>
      </c>
      <c r="C11" s="12">
        <v>710000</v>
      </c>
      <c r="D11" s="13">
        <f>C11/$C$7</f>
        <v>5.5065652217749754</v>
      </c>
      <c r="E11" s="12">
        <v>795000</v>
      </c>
      <c r="F11" s="13">
        <f>E11/$C$7</f>
        <v>6.1658019032550779</v>
      </c>
      <c r="G11" s="12">
        <v>895000</v>
      </c>
      <c r="H11" s="13">
        <f>G11/$C$7</f>
        <v>6.9413744697022581</v>
      </c>
    </row>
    <row r="12" spans="1:9" ht="16.5" x14ac:dyDescent="0.3">
      <c r="A12" s="5"/>
      <c r="B12" s="6" t="s">
        <v>11</v>
      </c>
      <c r="C12" s="12">
        <v>0</v>
      </c>
      <c r="D12" s="13">
        <f>C12/$C$8</f>
        <v>0</v>
      </c>
      <c r="E12" s="12">
        <v>0</v>
      </c>
      <c r="F12" s="13">
        <f>E12/$C$8</f>
        <v>0</v>
      </c>
      <c r="G12" s="12">
        <v>0</v>
      </c>
      <c r="H12" s="13">
        <f>G12/$C$8</f>
        <v>0</v>
      </c>
    </row>
    <row r="13" spans="1:9" ht="16.5" x14ac:dyDescent="0.3">
      <c r="A13" s="5"/>
      <c r="B13" s="6"/>
      <c r="C13" s="14">
        <f>SUM(C11:C12)</f>
        <v>710000</v>
      </c>
      <c r="D13" s="15"/>
      <c r="E13" s="14">
        <f>SUM(E11:E12)</f>
        <v>795000</v>
      </c>
      <c r="F13" s="15"/>
      <c r="G13" s="14">
        <f>SUM(G11:G12)</f>
        <v>895000</v>
      </c>
      <c r="H13" s="16"/>
      <c r="I13" s="17"/>
    </row>
    <row r="14" spans="1:9" ht="16.5" x14ac:dyDescent="0.3">
      <c r="A14" s="5"/>
      <c r="B14" s="6"/>
      <c r="C14" s="11"/>
      <c r="E14" s="11"/>
      <c r="G14" s="11"/>
    </row>
    <row r="15" spans="1:9" ht="16.5" x14ac:dyDescent="0.3">
      <c r="A15" s="5" t="s">
        <v>12</v>
      </c>
      <c r="B15" s="6"/>
      <c r="C15" s="11" t="s">
        <v>7</v>
      </c>
      <c r="E15" s="11" t="s">
        <v>8</v>
      </c>
      <c r="G15" s="11" t="s">
        <v>9</v>
      </c>
    </row>
    <row r="16" spans="1:9" ht="16.5" x14ac:dyDescent="0.3">
      <c r="A16" s="5"/>
      <c r="B16" s="6" t="s">
        <v>13</v>
      </c>
      <c r="C16" s="12">
        <v>200</v>
      </c>
      <c r="E16" s="12">
        <f>C16</f>
        <v>200</v>
      </c>
      <c r="G16" s="12">
        <f>C16</f>
        <v>200</v>
      </c>
    </row>
    <row r="17" spans="1:8" ht="16.5" x14ac:dyDescent="0.3">
      <c r="A17" s="5"/>
      <c r="B17" s="6" t="s">
        <v>14</v>
      </c>
      <c r="C17" s="12">
        <v>2500</v>
      </c>
      <c r="E17" s="12">
        <f t="shared" ref="E17:E22" si="0">C17</f>
        <v>2500</v>
      </c>
      <c r="G17" s="12">
        <f t="shared" ref="G17:G22" si="1">C17</f>
        <v>2500</v>
      </c>
    </row>
    <row r="18" spans="1:8" ht="16.5" x14ac:dyDescent="0.3">
      <c r="A18" s="5"/>
      <c r="B18" s="6" t="s">
        <v>15</v>
      </c>
      <c r="C18" s="12">
        <v>1100</v>
      </c>
      <c r="E18" s="12">
        <f t="shared" si="0"/>
        <v>1100</v>
      </c>
      <c r="G18" s="12">
        <f t="shared" si="1"/>
        <v>1100</v>
      </c>
    </row>
    <row r="19" spans="1:8" ht="16.5" x14ac:dyDescent="0.3">
      <c r="A19" s="5"/>
      <c r="B19" s="6" t="s">
        <v>16</v>
      </c>
      <c r="C19" s="12">
        <v>4000</v>
      </c>
      <c r="E19" s="12">
        <f t="shared" si="0"/>
        <v>4000</v>
      </c>
      <c r="G19" s="12">
        <f t="shared" si="1"/>
        <v>4000</v>
      </c>
    </row>
    <row r="20" spans="1:8" ht="16.5" x14ac:dyDescent="0.3">
      <c r="A20" s="5"/>
      <c r="B20" s="6" t="s">
        <v>17</v>
      </c>
      <c r="C20" s="12">
        <v>2100</v>
      </c>
      <c r="E20" s="12">
        <f t="shared" si="0"/>
        <v>2100</v>
      </c>
      <c r="G20" s="12">
        <f t="shared" si="1"/>
        <v>2100</v>
      </c>
    </row>
    <row r="21" spans="1:8" ht="16.5" x14ac:dyDescent="0.3">
      <c r="A21" s="5"/>
      <c r="B21" s="6" t="s">
        <v>18</v>
      </c>
      <c r="C21" s="12">
        <v>0</v>
      </c>
      <c r="E21" s="12">
        <f t="shared" si="0"/>
        <v>0</v>
      </c>
      <c r="G21" s="12">
        <f t="shared" si="1"/>
        <v>0</v>
      </c>
    </row>
    <row r="22" spans="1:8" ht="16.5" x14ac:dyDescent="0.3">
      <c r="A22" s="5"/>
      <c r="B22" s="6" t="s">
        <v>19</v>
      </c>
      <c r="C22" s="12">
        <v>100</v>
      </c>
      <c r="E22" s="12">
        <f t="shared" si="0"/>
        <v>100</v>
      </c>
      <c r="G22" s="12">
        <f t="shared" si="1"/>
        <v>100</v>
      </c>
    </row>
    <row r="23" spans="1:8" ht="16.5" x14ac:dyDescent="0.3">
      <c r="A23" s="5"/>
      <c r="B23" s="6"/>
      <c r="C23" s="18">
        <f>SUM(C16:C22)</f>
        <v>10000</v>
      </c>
      <c r="E23" s="18">
        <f>SUM(E16:E22)</f>
        <v>10000</v>
      </c>
      <c r="G23" s="18">
        <f>SUM(G16:G22)</f>
        <v>10000</v>
      </c>
    </row>
    <row r="24" spans="1:8" ht="16.5" x14ac:dyDescent="0.3">
      <c r="A24" s="5"/>
      <c r="B24" s="6"/>
      <c r="C24" s="11"/>
      <c r="E24" s="11"/>
      <c r="G24" s="11"/>
    </row>
    <row r="25" spans="1:8" ht="16.5" x14ac:dyDescent="0.3">
      <c r="A25" s="5" t="s">
        <v>20</v>
      </c>
      <c r="B25" s="6"/>
      <c r="C25" s="19">
        <f>C13+C23</f>
        <v>720000</v>
      </c>
      <c r="E25" s="19">
        <f>E13+E23</f>
        <v>805000</v>
      </c>
      <c r="G25" s="19">
        <f>G13+G23</f>
        <v>905000</v>
      </c>
    </row>
    <row r="26" spans="1:8" ht="16.5" x14ac:dyDescent="0.3">
      <c r="A26" s="5"/>
      <c r="B26" s="6"/>
      <c r="C26" s="10"/>
      <c r="E26" s="1"/>
    </row>
    <row r="27" spans="1:8" ht="16.5" x14ac:dyDescent="0.3">
      <c r="A27" s="4" t="s">
        <v>21</v>
      </c>
      <c r="C27" s="11" t="s">
        <v>7</v>
      </c>
      <c r="D27" s="11" t="s">
        <v>22</v>
      </c>
      <c r="E27" s="11" t="s">
        <v>8</v>
      </c>
      <c r="F27" s="11" t="s">
        <v>22</v>
      </c>
      <c r="G27" s="11" t="s">
        <v>9</v>
      </c>
      <c r="H27" s="11" t="s">
        <v>22</v>
      </c>
    </row>
    <row r="28" spans="1:8" ht="16.5" x14ac:dyDescent="0.3">
      <c r="A28" s="4"/>
      <c r="B28" s="1" t="s">
        <v>23</v>
      </c>
      <c r="C28" s="12">
        <v>0</v>
      </c>
      <c r="D28" s="13">
        <f t="shared" ref="D28:D43" si="2">C28/$C$8</f>
        <v>0</v>
      </c>
      <c r="E28" s="12">
        <f>C28</f>
        <v>0</v>
      </c>
      <c r="F28" s="13">
        <f t="shared" ref="F28:F43" si="3">E28/$C$8</f>
        <v>0</v>
      </c>
      <c r="G28" s="12">
        <f>C28</f>
        <v>0</v>
      </c>
      <c r="H28" s="13">
        <f t="shared" ref="H28:H43" si="4">G28/$C$8</f>
        <v>0</v>
      </c>
    </row>
    <row r="29" spans="1:8" ht="16.5" x14ac:dyDescent="0.3">
      <c r="A29" s="4"/>
      <c r="B29" s="1" t="s">
        <v>24</v>
      </c>
      <c r="C29" s="12">
        <v>0</v>
      </c>
      <c r="D29" s="13">
        <f t="shared" si="2"/>
        <v>0</v>
      </c>
      <c r="E29" s="12">
        <f t="shared" ref="E29:E42" si="5">C29</f>
        <v>0</v>
      </c>
      <c r="F29" s="13">
        <f t="shared" si="3"/>
        <v>0</v>
      </c>
      <c r="G29" s="12">
        <f t="shared" ref="G29:G42" si="6">C29</f>
        <v>0</v>
      </c>
      <c r="H29" s="13">
        <f t="shared" si="4"/>
        <v>0</v>
      </c>
    </row>
    <row r="30" spans="1:8" ht="16.5" x14ac:dyDescent="0.3">
      <c r="A30" s="4"/>
      <c r="B30" s="1" t="s">
        <v>25</v>
      </c>
      <c r="C30" s="12">
        <v>0</v>
      </c>
      <c r="D30" s="13">
        <f t="shared" si="2"/>
        <v>0</v>
      </c>
      <c r="E30" s="12">
        <f t="shared" si="5"/>
        <v>0</v>
      </c>
      <c r="F30" s="13">
        <f t="shared" si="3"/>
        <v>0</v>
      </c>
      <c r="G30" s="12">
        <f t="shared" si="6"/>
        <v>0</v>
      </c>
      <c r="H30" s="13">
        <f t="shared" si="4"/>
        <v>0</v>
      </c>
    </row>
    <row r="31" spans="1:8" ht="16.5" x14ac:dyDescent="0.3">
      <c r="A31" s="4"/>
      <c r="B31" s="1" t="s">
        <v>26</v>
      </c>
      <c r="C31" s="12">
        <v>0</v>
      </c>
      <c r="D31" s="13">
        <f t="shared" si="2"/>
        <v>0</v>
      </c>
      <c r="E31" s="12">
        <f t="shared" si="5"/>
        <v>0</v>
      </c>
      <c r="F31" s="13">
        <f t="shared" si="3"/>
        <v>0</v>
      </c>
      <c r="G31" s="12">
        <f t="shared" si="6"/>
        <v>0</v>
      </c>
      <c r="H31" s="13">
        <f t="shared" si="4"/>
        <v>0</v>
      </c>
    </row>
    <row r="32" spans="1:8" ht="16.5" x14ac:dyDescent="0.3">
      <c r="A32" s="4"/>
      <c r="B32" s="1" t="s">
        <v>27</v>
      </c>
      <c r="C32" s="12">
        <v>0</v>
      </c>
      <c r="D32" s="13">
        <f t="shared" si="2"/>
        <v>0</v>
      </c>
      <c r="E32" s="12">
        <f t="shared" si="5"/>
        <v>0</v>
      </c>
      <c r="F32" s="13">
        <f t="shared" si="3"/>
        <v>0</v>
      </c>
      <c r="G32" s="12">
        <f t="shared" si="6"/>
        <v>0</v>
      </c>
      <c r="H32" s="13">
        <f t="shared" si="4"/>
        <v>0</v>
      </c>
    </row>
    <row r="33" spans="1:8" ht="16.5" x14ac:dyDescent="0.3">
      <c r="A33" s="4"/>
      <c r="B33" s="1" t="s">
        <v>18</v>
      </c>
      <c r="C33" s="12">
        <v>0</v>
      </c>
      <c r="D33" s="13">
        <f t="shared" si="2"/>
        <v>0</v>
      </c>
      <c r="E33" s="12">
        <f t="shared" si="5"/>
        <v>0</v>
      </c>
      <c r="F33" s="13">
        <f t="shared" si="3"/>
        <v>0</v>
      </c>
      <c r="G33" s="12">
        <f t="shared" si="6"/>
        <v>0</v>
      </c>
      <c r="H33" s="13">
        <f t="shared" si="4"/>
        <v>0</v>
      </c>
    </row>
    <row r="34" spans="1:8" ht="16.5" x14ac:dyDescent="0.3">
      <c r="A34" s="4"/>
      <c r="B34" s="1" t="s">
        <v>28</v>
      </c>
      <c r="C34" s="12">
        <v>0</v>
      </c>
      <c r="D34" s="13">
        <f t="shared" si="2"/>
        <v>0</v>
      </c>
      <c r="E34" s="12">
        <f t="shared" si="5"/>
        <v>0</v>
      </c>
      <c r="F34" s="13">
        <f t="shared" si="3"/>
        <v>0</v>
      </c>
      <c r="G34" s="12">
        <f t="shared" si="6"/>
        <v>0</v>
      </c>
      <c r="H34" s="13">
        <f t="shared" si="4"/>
        <v>0</v>
      </c>
    </row>
    <row r="35" spans="1:8" ht="16.5" x14ac:dyDescent="0.3">
      <c r="A35" s="4"/>
      <c r="B35" s="1" t="s">
        <v>29</v>
      </c>
      <c r="C35" s="12">
        <v>0</v>
      </c>
      <c r="D35" s="13">
        <f t="shared" si="2"/>
        <v>0</v>
      </c>
      <c r="E35" s="12">
        <f t="shared" si="5"/>
        <v>0</v>
      </c>
      <c r="F35" s="13">
        <f t="shared" si="3"/>
        <v>0</v>
      </c>
      <c r="G35" s="12">
        <f t="shared" si="6"/>
        <v>0</v>
      </c>
      <c r="H35" s="13">
        <f t="shared" si="4"/>
        <v>0</v>
      </c>
    </row>
    <row r="36" spans="1:8" ht="16.5" x14ac:dyDescent="0.3">
      <c r="A36" s="4"/>
      <c r="B36" s="1" t="s">
        <v>30</v>
      </c>
      <c r="C36" s="12">
        <v>0</v>
      </c>
      <c r="D36" s="13">
        <f t="shared" si="2"/>
        <v>0</v>
      </c>
      <c r="E36" s="12">
        <f t="shared" si="5"/>
        <v>0</v>
      </c>
      <c r="F36" s="13">
        <f t="shared" si="3"/>
        <v>0</v>
      </c>
      <c r="G36" s="12">
        <f t="shared" si="6"/>
        <v>0</v>
      </c>
      <c r="H36" s="13">
        <f t="shared" si="4"/>
        <v>0</v>
      </c>
    </row>
    <row r="37" spans="1:8" ht="16.5" x14ac:dyDescent="0.3">
      <c r="A37" s="4"/>
      <c r="B37" s="1" t="s">
        <v>31</v>
      </c>
      <c r="C37" s="12">
        <v>0</v>
      </c>
      <c r="D37" s="13">
        <f t="shared" si="2"/>
        <v>0</v>
      </c>
      <c r="E37" s="12">
        <f t="shared" si="5"/>
        <v>0</v>
      </c>
      <c r="F37" s="13">
        <f t="shared" si="3"/>
        <v>0</v>
      </c>
      <c r="G37" s="12">
        <f t="shared" si="6"/>
        <v>0</v>
      </c>
      <c r="H37" s="13">
        <f t="shared" si="4"/>
        <v>0</v>
      </c>
    </row>
    <row r="38" spans="1:8" ht="16.5" x14ac:dyDescent="0.3">
      <c r="A38" s="4"/>
      <c r="B38" s="1" t="s">
        <v>32</v>
      </c>
      <c r="C38" s="12">
        <v>0</v>
      </c>
      <c r="D38" s="13">
        <f t="shared" si="2"/>
        <v>0</v>
      </c>
      <c r="E38" s="12">
        <f t="shared" si="5"/>
        <v>0</v>
      </c>
      <c r="F38" s="13">
        <f t="shared" si="3"/>
        <v>0</v>
      </c>
      <c r="G38" s="12">
        <f t="shared" si="6"/>
        <v>0</v>
      </c>
      <c r="H38" s="13">
        <f t="shared" si="4"/>
        <v>0</v>
      </c>
    </row>
    <row r="39" spans="1:8" ht="16.5" x14ac:dyDescent="0.3">
      <c r="A39" s="4"/>
      <c r="B39" s="1" t="s">
        <v>33</v>
      </c>
      <c r="C39" s="12">
        <v>0</v>
      </c>
      <c r="D39" s="13">
        <f t="shared" si="2"/>
        <v>0</v>
      </c>
      <c r="E39" s="12">
        <f t="shared" si="5"/>
        <v>0</v>
      </c>
      <c r="F39" s="13">
        <f t="shared" si="3"/>
        <v>0</v>
      </c>
      <c r="G39" s="12">
        <f t="shared" si="6"/>
        <v>0</v>
      </c>
      <c r="H39" s="13">
        <f t="shared" si="4"/>
        <v>0</v>
      </c>
    </row>
    <row r="40" spans="1:8" ht="16.5" x14ac:dyDescent="0.3">
      <c r="A40" s="4"/>
      <c r="B40" s="1" t="s">
        <v>34</v>
      </c>
      <c r="C40" s="12">
        <v>0</v>
      </c>
      <c r="D40" s="13">
        <f t="shared" si="2"/>
        <v>0</v>
      </c>
      <c r="E40" s="12">
        <f t="shared" si="5"/>
        <v>0</v>
      </c>
      <c r="F40" s="13">
        <f t="shared" si="3"/>
        <v>0</v>
      </c>
      <c r="G40" s="12">
        <f t="shared" si="6"/>
        <v>0</v>
      </c>
      <c r="H40" s="13">
        <f t="shared" si="4"/>
        <v>0</v>
      </c>
    </row>
    <row r="41" spans="1:8" ht="16.5" x14ac:dyDescent="0.3">
      <c r="A41" s="4"/>
      <c r="B41" s="1" t="s">
        <v>35</v>
      </c>
      <c r="C41" s="12">
        <v>0</v>
      </c>
      <c r="D41" s="13">
        <f t="shared" si="2"/>
        <v>0</v>
      </c>
      <c r="E41" s="12">
        <f t="shared" si="5"/>
        <v>0</v>
      </c>
      <c r="F41" s="13">
        <f t="shared" si="3"/>
        <v>0</v>
      </c>
      <c r="G41" s="12">
        <f t="shared" si="6"/>
        <v>0</v>
      </c>
      <c r="H41" s="13">
        <f t="shared" si="4"/>
        <v>0</v>
      </c>
    </row>
    <row r="42" spans="1:8" ht="16.5" x14ac:dyDescent="0.3">
      <c r="A42" s="4"/>
      <c r="B42" s="1" t="s">
        <v>36</v>
      </c>
      <c r="C42" s="12">
        <v>0</v>
      </c>
      <c r="D42" s="13">
        <f t="shared" si="2"/>
        <v>0</v>
      </c>
      <c r="E42" s="12">
        <f t="shared" si="5"/>
        <v>0</v>
      </c>
      <c r="F42" s="13">
        <f t="shared" si="3"/>
        <v>0</v>
      </c>
      <c r="G42" s="12">
        <f t="shared" si="6"/>
        <v>0</v>
      </c>
      <c r="H42" s="13">
        <f t="shared" si="4"/>
        <v>0</v>
      </c>
    </row>
    <row r="43" spans="1:8" ht="16.5" x14ac:dyDescent="0.3">
      <c r="A43" s="4"/>
      <c r="B43" s="13" t="s">
        <v>37</v>
      </c>
      <c r="C43" s="18">
        <f>C25+SUM(C28:C42)</f>
        <v>720000</v>
      </c>
      <c r="D43" s="13">
        <f t="shared" si="2"/>
        <v>24.916943521594686</v>
      </c>
      <c r="E43" s="18">
        <f>E25+SUM(E28:E42)</f>
        <v>805000</v>
      </c>
      <c r="F43" s="13">
        <f t="shared" si="3"/>
        <v>27.858527131782946</v>
      </c>
      <c r="G43" s="18">
        <f>G25+SUM(G28:G42)</f>
        <v>905000</v>
      </c>
      <c r="H43" s="13">
        <f t="shared" si="4"/>
        <v>31.319213732004428</v>
      </c>
    </row>
    <row r="44" spans="1:8" ht="16.5" x14ac:dyDescent="0.3">
      <c r="C44" s="20"/>
      <c r="D44" s="21"/>
      <c r="E44" s="1"/>
    </row>
    <row r="45" spans="1:8" ht="16.5" x14ac:dyDescent="0.3">
      <c r="A45" s="4" t="s">
        <v>38</v>
      </c>
    </row>
    <row r="46" spans="1:8" ht="16.5" x14ac:dyDescent="0.3">
      <c r="B46" s="22" t="s">
        <v>39</v>
      </c>
      <c r="C46" s="23">
        <v>0.03</v>
      </c>
      <c r="D46" s="22"/>
    </row>
    <row r="47" spans="1:8" ht="16.5" x14ac:dyDescent="0.3">
      <c r="B47" s="22" t="s">
        <v>40</v>
      </c>
      <c r="C47" s="23">
        <v>0.03</v>
      </c>
      <c r="D47" s="22"/>
    </row>
    <row r="48" spans="1:8" x14ac:dyDescent="0.25">
      <c r="B48" s="22"/>
      <c r="C48" s="22"/>
      <c r="D48" s="22"/>
    </row>
    <row r="49" spans="1:13" ht="16.5" x14ac:dyDescent="0.3">
      <c r="A49" s="4" t="s">
        <v>41</v>
      </c>
      <c r="B49" s="22"/>
      <c r="C49" s="22"/>
      <c r="D49" s="22"/>
    </row>
    <row r="50" spans="1:13" ht="16.5" x14ac:dyDescent="0.3">
      <c r="B50" s="22" t="s">
        <v>39</v>
      </c>
      <c r="C50" s="23">
        <v>0.02</v>
      </c>
      <c r="D50" s="22"/>
    </row>
    <row r="51" spans="1:13" ht="16.5" x14ac:dyDescent="0.3">
      <c r="B51" s="22" t="s">
        <v>42</v>
      </c>
      <c r="C51" s="23">
        <v>0.02</v>
      </c>
      <c r="D51" s="22"/>
    </row>
    <row r="53" spans="1:13" x14ac:dyDescent="0.25">
      <c r="K53" s="1"/>
      <c r="L53" s="24"/>
    </row>
    <row r="54" spans="1:13" s="25" customFormat="1" ht="18.75" x14ac:dyDescent="0.3">
      <c r="A54" s="485" t="s">
        <v>43</v>
      </c>
      <c r="B54" s="485"/>
      <c r="C54" s="485"/>
      <c r="D54" s="485"/>
      <c r="E54" s="485"/>
      <c r="F54" s="485"/>
      <c r="G54" s="485"/>
      <c r="H54" s="485"/>
      <c r="I54" s="485"/>
      <c r="J54" s="486"/>
      <c r="L54" s="1"/>
    </row>
    <row r="55" spans="1:13" ht="16.5" thickBot="1" x14ac:dyDescent="0.3">
      <c r="M55" s="26"/>
    </row>
    <row r="56" spans="1:13" s="29" customFormat="1" ht="50.25" customHeight="1" x14ac:dyDescent="0.3">
      <c r="A56" s="27" t="str">
        <f>IF(C4="R","Units","Suite")</f>
        <v>Units</v>
      </c>
      <c r="B56" s="27" t="s">
        <v>44</v>
      </c>
      <c r="C56" s="27" t="str">
        <f>IF(C4="R","Unit SF","Net Lease SF")</f>
        <v>Unit SF</v>
      </c>
      <c r="D56" s="27" t="s">
        <v>45</v>
      </c>
      <c r="E56" s="28" t="s">
        <v>46</v>
      </c>
      <c r="F56" s="27" t="str">
        <f>IF($C$4="R","Monthly PSF","Annual PSF")</f>
        <v>Monthly PSF</v>
      </c>
      <c r="G56" s="28" t="s">
        <v>47</v>
      </c>
      <c r="H56" s="27" t="str">
        <f>IF($C$4="R","Monthly PSF","Annual PSF")</f>
        <v>Monthly PSF</v>
      </c>
      <c r="I56" s="28" t="s">
        <v>48</v>
      </c>
      <c r="J56" s="27" t="str">
        <f>IF($C$4="R","Monthly PSF","Annual PSF")</f>
        <v>Monthly PSF</v>
      </c>
      <c r="K56" s="28" t="s">
        <v>49</v>
      </c>
      <c r="L56" s="27" t="str">
        <f>IF($C$4="R","Monthly PSF","Annual PSF")</f>
        <v>Monthly PSF</v>
      </c>
    </row>
    <row r="57" spans="1:13" ht="18.75" customHeight="1" x14ac:dyDescent="0.3">
      <c r="A57" s="30">
        <v>29</v>
      </c>
      <c r="B57" s="31" t="s">
        <v>50</v>
      </c>
      <c r="C57" s="32">
        <v>650</v>
      </c>
      <c r="D57" s="33">
        <f t="shared" ref="D57:D76" si="7">IF($C$4="R",C57*A57,C57)</f>
        <v>18850</v>
      </c>
      <c r="E57" s="34">
        <v>332</v>
      </c>
      <c r="F57" s="35">
        <f>IF($C$5="R",E57/$C57,E57)</f>
        <v>0.51076923076923075</v>
      </c>
      <c r="G57" s="36">
        <v>332</v>
      </c>
      <c r="H57" s="35">
        <f>IF($C$5="R",G57/$C57,G57)</f>
        <v>0.51076923076923075</v>
      </c>
      <c r="I57" s="37">
        <f t="shared" ref="I57:I76" si="8">G57*(1+$C$46)</f>
        <v>341.96000000000004</v>
      </c>
      <c r="J57" s="35">
        <f>IF($C$5="R",I57/$C57,I57)</f>
        <v>0.52609230769230775</v>
      </c>
      <c r="K57" s="38">
        <f t="shared" ref="K57:K76" si="9">I57*(1+$C$47)</f>
        <v>352.21880000000004</v>
      </c>
      <c r="L57" s="35">
        <f>IF($C$5="R",K57/$C57,K57)</f>
        <v>0.54187507692307701</v>
      </c>
    </row>
    <row r="58" spans="1:13" ht="18.75" hidden="1" customHeight="1" x14ac:dyDescent="0.3">
      <c r="A58" s="30">
        <v>0</v>
      </c>
      <c r="B58" s="31">
        <v>0</v>
      </c>
      <c r="C58" s="32">
        <v>0</v>
      </c>
      <c r="D58" s="33">
        <f t="shared" si="7"/>
        <v>0</v>
      </c>
      <c r="E58" s="34">
        <v>0</v>
      </c>
      <c r="F58" s="35" t="e">
        <f t="shared" ref="F58:F65" si="10">IF($C$5="R",E58/$C58,E58)</f>
        <v>#DIV/0!</v>
      </c>
      <c r="G58" s="36">
        <v>0</v>
      </c>
      <c r="H58" s="35" t="e">
        <f t="shared" ref="H58:H65" si="11">IF($C$5="R",G58/$C58,G58)</f>
        <v>#DIV/0!</v>
      </c>
      <c r="I58" s="37">
        <f t="shared" si="8"/>
        <v>0</v>
      </c>
      <c r="J58" s="35" t="e">
        <f t="shared" ref="J58:J65" si="12">IF($C$5="R",I58/$C58,I58)</f>
        <v>#DIV/0!</v>
      </c>
      <c r="K58" s="38">
        <f t="shared" si="9"/>
        <v>0</v>
      </c>
      <c r="L58" s="35" t="e">
        <f t="shared" ref="L58:L65" si="13">IF($C$5="R",K58/$C58,K58)</f>
        <v>#DIV/0!</v>
      </c>
    </row>
    <row r="59" spans="1:13" ht="18.75" hidden="1" customHeight="1" x14ac:dyDescent="0.3">
      <c r="A59" s="30"/>
      <c r="B59" s="31"/>
      <c r="C59" s="32"/>
      <c r="D59" s="33">
        <f t="shared" si="7"/>
        <v>0</v>
      </c>
      <c r="E59" s="34"/>
      <c r="F59" s="35" t="e">
        <f t="shared" si="10"/>
        <v>#DIV/0!</v>
      </c>
      <c r="G59" s="36"/>
      <c r="H59" s="35" t="e">
        <f t="shared" si="11"/>
        <v>#DIV/0!</v>
      </c>
      <c r="I59" s="37">
        <f t="shared" si="8"/>
        <v>0</v>
      </c>
      <c r="J59" s="35" t="e">
        <f t="shared" si="12"/>
        <v>#DIV/0!</v>
      </c>
      <c r="K59" s="38">
        <f t="shared" si="9"/>
        <v>0</v>
      </c>
      <c r="L59" s="35" t="e">
        <f t="shared" si="13"/>
        <v>#DIV/0!</v>
      </c>
    </row>
    <row r="60" spans="1:13" ht="18.75" hidden="1" customHeight="1" x14ac:dyDescent="0.3">
      <c r="A60" s="30"/>
      <c r="B60" s="31"/>
      <c r="C60" s="32"/>
      <c r="D60" s="33">
        <f t="shared" si="7"/>
        <v>0</v>
      </c>
      <c r="E60" s="34"/>
      <c r="F60" s="35" t="e">
        <f t="shared" si="10"/>
        <v>#DIV/0!</v>
      </c>
      <c r="G60" s="36"/>
      <c r="H60" s="35" t="e">
        <f t="shared" si="11"/>
        <v>#DIV/0!</v>
      </c>
      <c r="I60" s="37">
        <f t="shared" si="8"/>
        <v>0</v>
      </c>
      <c r="J60" s="35" t="e">
        <f t="shared" si="12"/>
        <v>#DIV/0!</v>
      </c>
      <c r="K60" s="38">
        <f t="shared" si="9"/>
        <v>0</v>
      </c>
      <c r="L60" s="35" t="e">
        <f t="shared" si="13"/>
        <v>#DIV/0!</v>
      </c>
    </row>
    <row r="61" spans="1:13" ht="18.75" hidden="1" customHeight="1" x14ac:dyDescent="0.3">
      <c r="A61" s="30"/>
      <c r="B61" s="31"/>
      <c r="C61" s="32"/>
      <c r="D61" s="33">
        <f t="shared" si="7"/>
        <v>0</v>
      </c>
      <c r="E61" s="34"/>
      <c r="F61" s="35" t="e">
        <f t="shared" si="10"/>
        <v>#DIV/0!</v>
      </c>
      <c r="G61" s="36"/>
      <c r="H61" s="35" t="e">
        <f t="shared" si="11"/>
        <v>#DIV/0!</v>
      </c>
      <c r="I61" s="37">
        <f>G61*(1+$C$46)</f>
        <v>0</v>
      </c>
      <c r="J61" s="35" t="e">
        <f t="shared" si="12"/>
        <v>#DIV/0!</v>
      </c>
      <c r="K61" s="38">
        <f>I61*(1+$C$47)</f>
        <v>0</v>
      </c>
      <c r="L61" s="35" t="e">
        <f t="shared" si="13"/>
        <v>#DIV/0!</v>
      </c>
    </row>
    <row r="62" spans="1:13" ht="18.75" hidden="1" customHeight="1" x14ac:dyDescent="0.3">
      <c r="A62" s="30"/>
      <c r="B62" s="31"/>
      <c r="C62" s="32"/>
      <c r="D62" s="33">
        <f t="shared" si="7"/>
        <v>0</v>
      </c>
      <c r="E62" s="34"/>
      <c r="F62" s="35" t="e">
        <f t="shared" si="10"/>
        <v>#DIV/0!</v>
      </c>
      <c r="G62" s="36"/>
      <c r="H62" s="35" t="e">
        <f t="shared" si="11"/>
        <v>#DIV/0!</v>
      </c>
      <c r="I62" s="37">
        <f>G62*(1+$C$46)</f>
        <v>0</v>
      </c>
      <c r="J62" s="35" t="e">
        <f t="shared" si="12"/>
        <v>#DIV/0!</v>
      </c>
      <c r="K62" s="38">
        <f>I62*(1+$C$47)</f>
        <v>0</v>
      </c>
      <c r="L62" s="35" t="e">
        <f t="shared" si="13"/>
        <v>#DIV/0!</v>
      </c>
    </row>
    <row r="63" spans="1:13" ht="18.75" hidden="1" customHeight="1" x14ac:dyDescent="0.3">
      <c r="A63" s="30"/>
      <c r="B63" s="31"/>
      <c r="C63" s="32"/>
      <c r="D63" s="33">
        <f t="shared" si="7"/>
        <v>0</v>
      </c>
      <c r="E63" s="34"/>
      <c r="F63" s="35" t="e">
        <f t="shared" si="10"/>
        <v>#DIV/0!</v>
      </c>
      <c r="G63" s="36"/>
      <c r="H63" s="35" t="e">
        <f t="shared" si="11"/>
        <v>#DIV/0!</v>
      </c>
      <c r="I63" s="37">
        <f>G63*(1+$C$46)</f>
        <v>0</v>
      </c>
      <c r="J63" s="35" t="e">
        <f t="shared" si="12"/>
        <v>#DIV/0!</v>
      </c>
      <c r="K63" s="38">
        <f>I63*(1+$C$47)</f>
        <v>0</v>
      </c>
      <c r="L63" s="35" t="e">
        <f t="shared" si="13"/>
        <v>#DIV/0!</v>
      </c>
    </row>
    <row r="64" spans="1:13" ht="18.75" hidden="1" customHeight="1" x14ac:dyDescent="0.3">
      <c r="A64" s="30"/>
      <c r="B64" s="31"/>
      <c r="C64" s="32"/>
      <c r="D64" s="33">
        <f t="shared" si="7"/>
        <v>0</v>
      </c>
      <c r="E64" s="34"/>
      <c r="F64" s="35" t="e">
        <f t="shared" si="10"/>
        <v>#DIV/0!</v>
      </c>
      <c r="G64" s="36"/>
      <c r="H64" s="35" t="e">
        <f t="shared" si="11"/>
        <v>#DIV/0!</v>
      </c>
      <c r="I64" s="37">
        <f>G64*(1+$C$46)</f>
        <v>0</v>
      </c>
      <c r="J64" s="35" t="e">
        <f t="shared" si="12"/>
        <v>#DIV/0!</v>
      </c>
      <c r="K64" s="38">
        <f>I64*(1+$C$47)</f>
        <v>0</v>
      </c>
      <c r="L64" s="35" t="e">
        <f t="shared" si="13"/>
        <v>#DIV/0!</v>
      </c>
    </row>
    <row r="65" spans="1:14" ht="18.75" hidden="1" customHeight="1" x14ac:dyDescent="0.3">
      <c r="A65" s="30"/>
      <c r="B65" s="31"/>
      <c r="C65" s="32"/>
      <c r="D65" s="33">
        <f t="shared" si="7"/>
        <v>0</v>
      </c>
      <c r="E65" s="34"/>
      <c r="F65" s="35" t="e">
        <f t="shared" si="10"/>
        <v>#DIV/0!</v>
      </c>
      <c r="G65" s="36"/>
      <c r="H65" s="35" t="e">
        <f t="shared" si="11"/>
        <v>#DIV/0!</v>
      </c>
      <c r="I65" s="37">
        <f t="shared" si="8"/>
        <v>0</v>
      </c>
      <c r="J65" s="35" t="e">
        <f t="shared" si="12"/>
        <v>#DIV/0!</v>
      </c>
      <c r="K65" s="38">
        <f t="shared" si="9"/>
        <v>0</v>
      </c>
      <c r="L65" s="35" t="e">
        <f t="shared" si="13"/>
        <v>#DIV/0!</v>
      </c>
    </row>
    <row r="66" spans="1:14" ht="18.75" hidden="1" customHeight="1" outlineLevel="1" x14ac:dyDescent="0.3">
      <c r="A66" s="30"/>
      <c r="B66" s="31"/>
      <c r="C66" s="32"/>
      <c r="D66" s="33">
        <f t="shared" si="7"/>
        <v>0</v>
      </c>
      <c r="E66" s="34"/>
      <c r="F66" s="35" t="e">
        <f t="shared" ref="F66:F76" si="14">IF($C$5="R",E66/$C66*12,E66)</f>
        <v>#DIV/0!</v>
      </c>
      <c r="G66" s="36"/>
      <c r="H66" s="35" t="e">
        <f t="shared" ref="H66:H76" si="15">IF($C$5="R",G66/$C66*12,G66)</f>
        <v>#DIV/0!</v>
      </c>
      <c r="I66" s="37">
        <f t="shared" si="8"/>
        <v>0</v>
      </c>
      <c r="J66" s="35" t="e">
        <f t="shared" ref="J66:J76" si="16">IF($C$5="R",I66/$C66*12,I66)</f>
        <v>#DIV/0!</v>
      </c>
      <c r="K66" s="38">
        <f t="shared" si="9"/>
        <v>0</v>
      </c>
      <c r="L66" s="35" t="e">
        <f t="shared" ref="L66:L76" si="17">IF($C$5="R",K66/$C66*12,K66)</f>
        <v>#DIV/0!</v>
      </c>
    </row>
    <row r="67" spans="1:14" ht="18.75" hidden="1" customHeight="1" outlineLevel="1" x14ac:dyDescent="0.3">
      <c r="A67" s="30"/>
      <c r="B67" s="31"/>
      <c r="C67" s="32"/>
      <c r="D67" s="33">
        <f t="shared" si="7"/>
        <v>0</v>
      </c>
      <c r="E67" s="34"/>
      <c r="F67" s="35" t="e">
        <f t="shared" si="14"/>
        <v>#DIV/0!</v>
      </c>
      <c r="G67" s="36"/>
      <c r="H67" s="35" t="e">
        <f t="shared" si="15"/>
        <v>#DIV/0!</v>
      </c>
      <c r="I67" s="37">
        <f t="shared" si="8"/>
        <v>0</v>
      </c>
      <c r="J67" s="35" t="e">
        <f t="shared" si="16"/>
        <v>#DIV/0!</v>
      </c>
      <c r="K67" s="38">
        <f t="shared" si="9"/>
        <v>0</v>
      </c>
      <c r="L67" s="35" t="e">
        <f t="shared" si="17"/>
        <v>#DIV/0!</v>
      </c>
    </row>
    <row r="68" spans="1:14" ht="18.75" hidden="1" customHeight="1" outlineLevel="1" x14ac:dyDescent="0.3">
      <c r="A68" s="30"/>
      <c r="B68" s="31"/>
      <c r="C68" s="32"/>
      <c r="D68" s="33">
        <f t="shared" si="7"/>
        <v>0</v>
      </c>
      <c r="E68" s="34"/>
      <c r="F68" s="35" t="e">
        <f t="shared" si="14"/>
        <v>#DIV/0!</v>
      </c>
      <c r="G68" s="36"/>
      <c r="H68" s="35" t="e">
        <f t="shared" si="15"/>
        <v>#DIV/0!</v>
      </c>
      <c r="I68" s="37">
        <f t="shared" si="8"/>
        <v>0</v>
      </c>
      <c r="J68" s="35" t="e">
        <f t="shared" si="16"/>
        <v>#DIV/0!</v>
      </c>
      <c r="K68" s="38">
        <f t="shared" si="9"/>
        <v>0</v>
      </c>
      <c r="L68" s="35" t="e">
        <f t="shared" si="17"/>
        <v>#DIV/0!</v>
      </c>
    </row>
    <row r="69" spans="1:14" ht="18.75" hidden="1" customHeight="1" outlineLevel="1" x14ac:dyDescent="0.3">
      <c r="A69" s="30"/>
      <c r="B69" s="31"/>
      <c r="C69" s="32"/>
      <c r="D69" s="33">
        <f t="shared" si="7"/>
        <v>0</v>
      </c>
      <c r="E69" s="34"/>
      <c r="F69" s="35" t="e">
        <f t="shared" si="14"/>
        <v>#DIV/0!</v>
      </c>
      <c r="G69" s="36"/>
      <c r="H69" s="35" t="e">
        <f t="shared" si="15"/>
        <v>#DIV/0!</v>
      </c>
      <c r="I69" s="37">
        <f t="shared" si="8"/>
        <v>0</v>
      </c>
      <c r="J69" s="35" t="e">
        <f t="shared" si="16"/>
        <v>#DIV/0!</v>
      </c>
      <c r="K69" s="38">
        <f t="shared" si="9"/>
        <v>0</v>
      </c>
      <c r="L69" s="35" t="e">
        <f t="shared" si="17"/>
        <v>#DIV/0!</v>
      </c>
    </row>
    <row r="70" spans="1:14" ht="18.75" hidden="1" customHeight="1" outlineLevel="1" x14ac:dyDescent="0.3">
      <c r="A70" s="30"/>
      <c r="B70" s="31"/>
      <c r="C70" s="32"/>
      <c r="D70" s="33">
        <f t="shared" si="7"/>
        <v>0</v>
      </c>
      <c r="E70" s="34"/>
      <c r="F70" s="35" t="e">
        <f t="shared" si="14"/>
        <v>#DIV/0!</v>
      </c>
      <c r="G70" s="36"/>
      <c r="H70" s="35" t="e">
        <f t="shared" si="15"/>
        <v>#DIV/0!</v>
      </c>
      <c r="I70" s="37">
        <f t="shared" si="8"/>
        <v>0</v>
      </c>
      <c r="J70" s="35" t="e">
        <f t="shared" si="16"/>
        <v>#DIV/0!</v>
      </c>
      <c r="K70" s="38">
        <f t="shared" si="9"/>
        <v>0</v>
      </c>
      <c r="L70" s="35" t="e">
        <f t="shared" si="17"/>
        <v>#DIV/0!</v>
      </c>
    </row>
    <row r="71" spans="1:14" ht="18.75" hidden="1" customHeight="1" outlineLevel="1" x14ac:dyDescent="0.3">
      <c r="A71" s="30"/>
      <c r="B71" s="31"/>
      <c r="C71" s="32"/>
      <c r="D71" s="33">
        <f t="shared" si="7"/>
        <v>0</v>
      </c>
      <c r="E71" s="34"/>
      <c r="F71" s="35" t="e">
        <f t="shared" si="14"/>
        <v>#DIV/0!</v>
      </c>
      <c r="G71" s="36"/>
      <c r="H71" s="35" t="e">
        <f t="shared" si="15"/>
        <v>#DIV/0!</v>
      </c>
      <c r="I71" s="37">
        <f t="shared" si="8"/>
        <v>0</v>
      </c>
      <c r="J71" s="35" t="e">
        <f t="shared" si="16"/>
        <v>#DIV/0!</v>
      </c>
      <c r="K71" s="38">
        <f t="shared" si="9"/>
        <v>0</v>
      </c>
      <c r="L71" s="35" t="e">
        <f t="shared" si="17"/>
        <v>#DIV/0!</v>
      </c>
    </row>
    <row r="72" spans="1:14" ht="18.75" hidden="1" customHeight="1" outlineLevel="1" x14ac:dyDescent="0.3">
      <c r="A72" s="30"/>
      <c r="B72" s="31"/>
      <c r="C72" s="32"/>
      <c r="D72" s="33">
        <f t="shared" si="7"/>
        <v>0</v>
      </c>
      <c r="E72" s="34"/>
      <c r="F72" s="35" t="e">
        <f t="shared" si="14"/>
        <v>#DIV/0!</v>
      </c>
      <c r="G72" s="36"/>
      <c r="H72" s="35" t="e">
        <f t="shared" si="15"/>
        <v>#DIV/0!</v>
      </c>
      <c r="I72" s="37">
        <f t="shared" si="8"/>
        <v>0</v>
      </c>
      <c r="J72" s="35" t="e">
        <f t="shared" si="16"/>
        <v>#DIV/0!</v>
      </c>
      <c r="K72" s="38">
        <f t="shared" si="9"/>
        <v>0</v>
      </c>
      <c r="L72" s="35" t="e">
        <f t="shared" si="17"/>
        <v>#DIV/0!</v>
      </c>
    </row>
    <row r="73" spans="1:14" ht="18.75" hidden="1" customHeight="1" outlineLevel="1" x14ac:dyDescent="0.3">
      <c r="A73" s="30"/>
      <c r="B73" s="31"/>
      <c r="C73" s="32"/>
      <c r="D73" s="33">
        <f t="shared" si="7"/>
        <v>0</v>
      </c>
      <c r="E73" s="34"/>
      <c r="F73" s="35" t="e">
        <f t="shared" si="14"/>
        <v>#DIV/0!</v>
      </c>
      <c r="G73" s="36"/>
      <c r="H73" s="35" t="e">
        <f t="shared" si="15"/>
        <v>#DIV/0!</v>
      </c>
      <c r="I73" s="37">
        <f t="shared" si="8"/>
        <v>0</v>
      </c>
      <c r="J73" s="35" t="e">
        <f t="shared" si="16"/>
        <v>#DIV/0!</v>
      </c>
      <c r="K73" s="38">
        <f t="shared" si="9"/>
        <v>0</v>
      </c>
      <c r="L73" s="35" t="e">
        <f t="shared" si="17"/>
        <v>#DIV/0!</v>
      </c>
    </row>
    <row r="74" spans="1:14" ht="18.75" hidden="1" customHeight="1" outlineLevel="1" x14ac:dyDescent="0.3">
      <c r="A74" s="30"/>
      <c r="B74" s="31"/>
      <c r="C74" s="32"/>
      <c r="D74" s="33">
        <f t="shared" si="7"/>
        <v>0</v>
      </c>
      <c r="E74" s="34"/>
      <c r="F74" s="35" t="e">
        <f t="shared" si="14"/>
        <v>#DIV/0!</v>
      </c>
      <c r="G74" s="36"/>
      <c r="H74" s="35" t="e">
        <f t="shared" si="15"/>
        <v>#DIV/0!</v>
      </c>
      <c r="I74" s="37">
        <f t="shared" si="8"/>
        <v>0</v>
      </c>
      <c r="J74" s="35" t="e">
        <f t="shared" si="16"/>
        <v>#DIV/0!</v>
      </c>
      <c r="K74" s="38">
        <f t="shared" si="9"/>
        <v>0</v>
      </c>
      <c r="L74" s="35" t="e">
        <f t="shared" si="17"/>
        <v>#DIV/0!</v>
      </c>
    </row>
    <row r="75" spans="1:14" ht="18.75" hidden="1" customHeight="1" outlineLevel="1" x14ac:dyDescent="0.3">
      <c r="A75" s="30"/>
      <c r="B75" s="31"/>
      <c r="C75" s="32"/>
      <c r="D75" s="33">
        <f t="shared" si="7"/>
        <v>0</v>
      </c>
      <c r="E75" s="34"/>
      <c r="F75" s="35" t="e">
        <f t="shared" si="14"/>
        <v>#DIV/0!</v>
      </c>
      <c r="G75" s="36"/>
      <c r="H75" s="35" t="e">
        <f t="shared" si="15"/>
        <v>#DIV/0!</v>
      </c>
      <c r="I75" s="37">
        <f t="shared" si="8"/>
        <v>0</v>
      </c>
      <c r="J75" s="35" t="e">
        <f t="shared" si="16"/>
        <v>#DIV/0!</v>
      </c>
      <c r="K75" s="38">
        <f t="shared" si="9"/>
        <v>0</v>
      </c>
      <c r="L75" s="35" t="e">
        <f t="shared" si="17"/>
        <v>#DIV/0!</v>
      </c>
    </row>
    <row r="76" spans="1:14" ht="18.75" hidden="1" customHeight="1" outlineLevel="1" x14ac:dyDescent="0.3">
      <c r="A76" s="39"/>
      <c r="B76" s="40"/>
      <c r="C76" s="41"/>
      <c r="D76" s="42">
        <f t="shared" si="7"/>
        <v>0</v>
      </c>
      <c r="E76" s="43"/>
      <c r="F76" s="35" t="e">
        <f t="shared" si="14"/>
        <v>#DIV/0!</v>
      </c>
      <c r="G76" s="44"/>
      <c r="H76" s="35" t="e">
        <f t="shared" si="15"/>
        <v>#DIV/0!</v>
      </c>
      <c r="I76" s="45">
        <f t="shared" si="8"/>
        <v>0</v>
      </c>
      <c r="J76" s="35" t="e">
        <f t="shared" si="16"/>
        <v>#DIV/0!</v>
      </c>
      <c r="K76" s="45">
        <f t="shared" si="9"/>
        <v>0</v>
      </c>
      <c r="L76" s="35" t="e">
        <f t="shared" si="17"/>
        <v>#DIV/0!</v>
      </c>
    </row>
    <row r="77" spans="1:14" s="29" customFormat="1" ht="17.25" collapsed="1" thickBot="1" x14ac:dyDescent="0.35">
      <c r="A77" s="46">
        <f>IF(C4="R",SUM(A57:A76),"")</f>
        <v>29</v>
      </c>
      <c r="B77" s="46"/>
      <c r="C77" s="47" t="str">
        <f>IF($C$4="r","",SUM(C57:C76))</f>
        <v/>
      </c>
      <c r="D77" s="47">
        <f>SUM(D57:D76)</f>
        <v>18850</v>
      </c>
      <c r="E77" s="48" t="str">
        <f>IF($C$5="R",IF($C$4="r","",SUM(E57:E76)),"")</f>
        <v/>
      </c>
      <c r="F77" s="49">
        <f>IF($C$5="r",IF($C$4="r",((E57*$A57+E58*$A58+E59*$A59+E60*$A60+E61*$A61+E62*$A62+E63*$A63+E64*$A64+E65*$A65+E66*$A66*E67*$A67+E68*$A68+E69*$A69+E70*$A70+E71*$A71+E72*$A72+E73*$A73+E74*$A74+E75*$A75+E76*$A76)/$D77*12),E77/$C77*12),(E78/$D77))</f>
        <v>6.1292307692307695</v>
      </c>
      <c r="G77" s="48" t="str">
        <f>IF($C$5="R",IF($C$4="r","",SUM(G57:G76)),"")</f>
        <v/>
      </c>
      <c r="H77" s="49">
        <f>IF($C$5="r",IF($C$4="r",((G57*$A57+G58*$A58+G59*$A59+G60*$A60+G61*$A61+G62*$A62+G63*$A63+G64*$A64+G65*$A65+G66*$A66*G67*$A67+G68*$A68+G69*$A69+G70*$A70+G71*$A71+G72*$A72+G73*$A73+G74*$A74+G75*$A75+G76*$A76)/$D77*12),G77/$C77*12),(G78/$D77))</f>
        <v>6.1292307692307695</v>
      </c>
      <c r="I77" s="48" t="str">
        <f>IF($C$5="R",IF($C$4="r","",SUM(I57:I76)),"")</f>
        <v/>
      </c>
      <c r="J77" s="49">
        <f>IF($C$5="r",IF($C$4="r",((I57*$A57+I58*$A58+I59*$A59+I60*$A60+I61*$A61+I62*$A62+I63*$A63+I64*$A64+I65*$A65+I66*$A66*I67*$A67+I68*$A68+I69*$A69+I70*$A70+I71*$A71+I72*$A72+I73*$A73+I74*$A74+I75*$A75+I76*$A76)/$D77*12),I77/$C77*12),(I78/$D77))</f>
        <v>6.3131076923076925</v>
      </c>
      <c r="K77" s="48" t="str">
        <f>IF($C$5="R",IF($C$4="r","",SUM(K57:K76)),"")</f>
        <v/>
      </c>
      <c r="L77" s="49">
        <f>IF($C$5="r",IF($C$4="r",((K57*$A57+K58*$A58+K59*$A59+K60*$A60+K61*$A61+K62*$A62+K63*$A63+K64*$A64+K65*$A65+K66*$A66*K67*$A67+K68*$A68+K69*$A69+K70*$A70+K71*$A71+K72*$A72+K73*$A73+K74*$A74+K75*$A75+K76*$A76)/$D77*12),K77/$C77*12),(K78/$D77))</f>
        <v>6.5025009230769246</v>
      </c>
    </row>
    <row r="78" spans="1:14" s="29" customFormat="1" ht="17.25" thickBot="1" x14ac:dyDescent="0.35">
      <c r="A78" s="50"/>
      <c r="B78" s="51"/>
      <c r="C78" s="52"/>
      <c r="D78" s="53" t="s">
        <v>52</v>
      </c>
      <c r="E78" s="54">
        <f>IF($C$5="r",IF($C$4="r",(E57*$A57+E58*$A58+E59*$A59+E60*$A60+E61*$A61+E62*$A62+E63*$A63+E64*$A64+E65*$A65+E66*$A66+E67*$A67+E68*$A68+E69*$A69+E70*$A70+E71*$A71+E72*$A72+E73*$A73+E74*$A74+E75*$A75+E76*$A76),SUM(E57:E76)),IF($C$4="c",((E57*$C57+E58*$C58+E59*$C59+E60*$C60+E61*$C61+E62*$C62+E63*$C63+E64*$C64+E65*$C65+E66*$C66+E67*$C67+E68*$C68+E69*$C69+E70*$C70+E71*$C71+E72*$C72+E73*$C73+E74*$C74+E75*$C75+E76*$C76)),((E57*$C57*$A57+E58*$C58*$A58+E59*$C59*$A59+E60*$C60*$A60+E61*$C61*$A61+E62*$C62*$A62+E63*$C63*$A63+E64*$C64*$A64+E65*$C65*$A65+E66*$C66*$A66+E67*$C67*$A67+E68*$C68*$A68+E69*$C69*$A69+E70*$C70*$A70+E71*$C71*$A71+E72*$C72*$A72+E73*$C73*$A73+E74*$C74*$A74+E75*$C75*$A75+E76*$C76*$A76))))</f>
        <v>9628</v>
      </c>
      <c r="F78" s="55"/>
      <c r="G78" s="54">
        <f>IF($C$5="r",IF($C$4="r",(G57*$A57+G58*$A58+G59*$A59+G60*$A60+G61*$A61+G62*$A62+G63*$A63+G64*$A64+G65*$A65+G66*$A66+G67*$A67+G68*$A68+G69*$A69+G70*$A70+G71*$A71+G72*$A72+G73*$A73+G74*$A74+G75*$A75+G76*$A76),SUM(G57:G76)),IF($C$4="c",((G57*$C57+G58*$C58+G59*$C59+G60*$C60+G61*$C61+G62*$C62+G63*$C63+G64*$C64+G65*$C65+G66*$C66+G67*$C67+G68*$C68+G69*$C69+G70*$C70+G71*$C71+G72*$C72+G73*$C73+G74*$C74+G75*$C75+G76*$C76)),((G57*$C57*$A57+G58*$C58*$A58+G59*$C59*$A59+G60*$C60*$A60+G61*$C61*$A61+G62*$C62*$A62+G63*$C63*$A63+G64*$C64*$A64+G65*$C65*$A65+G66*$C66*$A66+G67*$C67*$A67+G68*$C68*$A68+G69*$C69*$A69+G70*$C70*$A70+G71*$C71*$A71+G72*$C72*$A72+G73*$C73*$A73+G74*$C74*$A74+G75*$C75*$A75+G76*$C76*$A76))))</f>
        <v>9628</v>
      </c>
      <c r="H78" s="55"/>
      <c r="I78" s="54">
        <f>IF($C$5="r",IF($C$4="r",(I57*$A57+I58*$A58+I59*$A59+I60*$A60+I61*$A61+I62*$A62+I63*$A63+I64*$A64+I65*$A65+I66*$A66+I67*$A67+I68*$A68+I69*$A69+I70*$A70+I71*$A71+I72*$A72+I73*$A73+I74*$A74+I75*$A75+I76*$A76),SUM(I57:I76)),IF($C$4="c",((I57*$C57+I58*$C58+I59*$C59+I60*$C60+I61*$C61+I62*$C62+I63*$C63+I64*$C64+I65*$C65+I66*$C66+I67*$C67+I68*$C68+I69*$C69+I70*$C70+I71*$C71+I72*$C72+I73*$C73+I74*$C74+I75*$C75+I76*$C76)),((I57*$C57*$A57+I58*$C58*$A58+I59*$C59*$A59+I60*$C60*$A60+I61*$C61*$A61+I62*$C62*$A62+I63*$C63*$A63+I64*$C64*$A64+I65*$C65*$A65+I66*$C66*$A66+I67*$C67*$A67+I68*$C68*$A68+I69*$C69*$A69+I70*$C70*$A70+I71*$C71*$A71+I72*$C72*$A72+I73*$C73*$A73+I74*$C74*$A74+I75*$C75*$A75+I76*$C76*$A76))))</f>
        <v>9916.84</v>
      </c>
      <c r="J78" s="55"/>
      <c r="K78" s="54">
        <f>IF($C$5="r",IF($C$4="r",(K57*$A57+K58*$A58+K59*$A59+K60*$A60+K61*$A61+K62*$A62+K63*$A63+K64*$A64+K65*$A65+K66*$A66+K67*$A67+K68*$A68+K69*$A69+K70*$A70+K71*$A71+K72*$A72+K73*$A73+K74*$A74+K75*$A75+K76*$A76),SUM(K57:K76)),IF($C$4="c",((K57*$C57+K58*$C58+K59*$C59+K60*$C60+K61*$C61+K62*$C62+K63*$C63+K64*$C64+K65*$C65+K66*$C66+K67*$C67+K68*$C68+K69*$C69+K70*$C70+K71*$C71+K72*$C72+K73*$C73+K74*$C74+K75*$C75+K76*$C76)),((K57*$C57*$A57+K58*$C58*$A58+K59*$C59*$A59+K60*$C60*$A60+K61*$C61*$A61+K62*$C62*$A62+K63*$C63*$A63+K64*$C64*$A64+K65*$C65*$A65+K66*$C66*$A66+K67*$C67*$A67+K68*$C68*$A68+K69*$C69*$A69+K70*$C70*$A70+K71*$C71*$A71+K72*$C72*$A72+K73*$C73*$A73+K74*$C74*$A74+K75*$C75*$A75+K76*$C76*$A76))))</f>
        <v>10214.345200000002</v>
      </c>
      <c r="L78" s="55"/>
    </row>
    <row r="79" spans="1:14" ht="15" customHeight="1" thickBot="1" x14ac:dyDescent="0.3">
      <c r="A79" s="22"/>
      <c r="B79" s="22"/>
      <c r="C79" s="22"/>
      <c r="D79" s="22"/>
      <c r="E79" s="17"/>
      <c r="F79" s="17"/>
      <c r="G79" s="17"/>
      <c r="H79" s="17"/>
      <c r="I79" s="17"/>
      <c r="J79" s="17"/>
      <c r="L79" s="3"/>
    </row>
    <row r="80" spans="1:14" s="29" customFormat="1" ht="57" customHeight="1" thickBot="1" x14ac:dyDescent="0.35">
      <c r="A80" s="56" t="s">
        <v>53</v>
      </c>
      <c r="B80" s="57"/>
      <c r="C80" s="58"/>
      <c r="D80" s="59"/>
      <c r="E80" s="483" t="s">
        <v>54</v>
      </c>
      <c r="F80" s="484"/>
      <c r="G80" s="483" t="s">
        <v>55</v>
      </c>
      <c r="H80" s="484"/>
      <c r="I80" s="483" t="s">
        <v>56</v>
      </c>
      <c r="J80" s="484"/>
      <c r="K80" s="483" t="s">
        <v>57</v>
      </c>
      <c r="L80" s="484"/>
      <c r="M80" s="60"/>
      <c r="N80" s="60"/>
    </row>
    <row r="81" spans="1:14" ht="18.75" customHeight="1" x14ac:dyDescent="0.3">
      <c r="A81" s="61" t="s">
        <v>58</v>
      </c>
      <c r="B81" s="62"/>
      <c r="C81" s="62"/>
      <c r="D81" s="63"/>
      <c r="E81" s="64">
        <f>E78*12</f>
        <v>115536</v>
      </c>
      <c r="F81" s="65"/>
      <c r="G81" s="64">
        <f>G78*12</f>
        <v>115536</v>
      </c>
      <c r="H81" s="65"/>
      <c r="I81" s="64">
        <f>I78*12</f>
        <v>119002.08</v>
      </c>
      <c r="J81" s="66"/>
      <c r="K81" s="64">
        <f>K78*12</f>
        <v>122572.14240000001</v>
      </c>
      <c r="L81" s="67"/>
      <c r="M81" s="68"/>
      <c r="N81" s="2"/>
    </row>
    <row r="82" spans="1:14" ht="18.75" customHeight="1" x14ac:dyDescent="0.25">
      <c r="A82" s="69" t="s">
        <v>59</v>
      </c>
      <c r="B82" s="22"/>
      <c r="C82" s="22"/>
      <c r="D82" s="70"/>
      <c r="E82" s="71">
        <f>-F82*E81</f>
        <v>0</v>
      </c>
      <c r="F82" s="72">
        <v>0</v>
      </c>
      <c r="G82" s="71">
        <f>-H82*G81</f>
        <v>0</v>
      </c>
      <c r="H82" s="72">
        <v>0</v>
      </c>
      <c r="I82" s="71">
        <f>-J82*I81</f>
        <v>0</v>
      </c>
      <c r="J82" s="72">
        <v>0</v>
      </c>
      <c r="K82" s="73">
        <f>-L82*K81</f>
        <v>0</v>
      </c>
      <c r="L82" s="74">
        <v>0</v>
      </c>
      <c r="M82" s="68"/>
      <c r="N82" s="2"/>
    </row>
    <row r="83" spans="1:14" ht="18.75" customHeight="1" x14ac:dyDescent="0.3">
      <c r="A83" s="75" t="s">
        <v>60</v>
      </c>
      <c r="B83" s="76"/>
      <c r="C83" s="76"/>
      <c r="D83" s="77"/>
      <c r="E83" s="78">
        <v>0</v>
      </c>
      <c r="F83" s="79"/>
      <c r="G83" s="80">
        <v>0</v>
      </c>
      <c r="H83" s="79"/>
      <c r="I83" s="80">
        <v>0</v>
      </c>
      <c r="J83" s="81"/>
      <c r="K83" s="82">
        <v>0</v>
      </c>
      <c r="L83" s="83"/>
      <c r="M83" s="68"/>
      <c r="N83" s="2"/>
    </row>
    <row r="84" spans="1:14" s="93" customFormat="1" ht="19.5" customHeight="1" x14ac:dyDescent="0.2">
      <c r="A84" s="84" t="s">
        <v>61</v>
      </c>
      <c r="B84" s="85"/>
      <c r="C84" s="487" t="s">
        <v>62</v>
      </c>
      <c r="D84" s="488"/>
      <c r="E84" s="86">
        <f>SUM(E81:E83)</f>
        <v>115536</v>
      </c>
      <c r="F84" s="87"/>
      <c r="G84" s="86">
        <f>SUM(G81:G83)</f>
        <v>115536</v>
      </c>
      <c r="H84" s="87"/>
      <c r="I84" s="86">
        <f>SUM(I81:I83)</f>
        <v>119002.08</v>
      </c>
      <c r="J84" s="88"/>
      <c r="K84" s="89">
        <f>SUM(K81:K83)</f>
        <v>122572.14240000001</v>
      </c>
      <c r="L84" s="90"/>
      <c r="M84" s="91"/>
      <c r="N84" s="92"/>
    </row>
    <row r="85" spans="1:14" s="93" customFormat="1" ht="19.5" customHeight="1" x14ac:dyDescent="0.2">
      <c r="A85" s="94" t="s">
        <v>63</v>
      </c>
      <c r="B85" s="85"/>
      <c r="C85" s="95">
        <v>0</v>
      </c>
      <c r="D85" s="96">
        <v>0</v>
      </c>
      <c r="E85" s="97">
        <f>IF($C$85=0,IF($C$4="R",0,(E96+E99+E105+E121+(E126*0.5))),$C$85)</f>
        <v>0</v>
      </c>
      <c r="F85" s="98" t="str">
        <f>IF($C$4="R","",E85/$C$77)</f>
        <v/>
      </c>
      <c r="G85" s="99">
        <f>IF($D$85=0,IF($C$4="R",0,(G96+G99+G105+G121+(G126*0.5))),$D$85)</f>
        <v>0</v>
      </c>
      <c r="H85" s="98" t="str">
        <f>IF($C$4="R","",G85/$C$77)</f>
        <v/>
      </c>
      <c r="I85" s="99">
        <f>IF($D$85=0,IF($C$4="R",0,(I96+I99+I105+I121+(I126*0.5))),($G$85*(1+$C50)))</f>
        <v>0</v>
      </c>
      <c r="J85" s="98" t="str">
        <f>IF($C$4="R","",I85/$C$77)</f>
        <v/>
      </c>
      <c r="K85" s="99">
        <f>IF($D$85=0,IF($C$4="R",0,(K96+K99+K105+K121+(K126*0.5))),($I$85*(1+$C51)))</f>
        <v>0</v>
      </c>
      <c r="L85" s="98" t="str">
        <f>IF($C$4="R","",K85/$C$77)</f>
        <v/>
      </c>
      <c r="M85" s="91"/>
      <c r="N85" s="92"/>
    </row>
    <row r="86" spans="1:14" s="93" customFormat="1" ht="19.5" customHeight="1" x14ac:dyDescent="0.2">
      <c r="A86" s="94" t="s">
        <v>64</v>
      </c>
      <c r="B86" s="100"/>
      <c r="C86" s="101"/>
      <c r="D86" s="102"/>
      <c r="E86" s="103"/>
      <c r="F86" s="104"/>
      <c r="G86" s="105"/>
      <c r="H86" s="104"/>
      <c r="I86" s="105"/>
      <c r="J86" s="106"/>
      <c r="K86" s="107"/>
      <c r="L86" s="108"/>
      <c r="M86" s="91"/>
      <c r="N86" s="92"/>
    </row>
    <row r="87" spans="1:14" s="118" customFormat="1" ht="17.25" thickBot="1" x14ac:dyDescent="0.35">
      <c r="A87" s="109" t="s">
        <v>65</v>
      </c>
      <c r="B87" s="110"/>
      <c r="C87" s="111"/>
      <c r="D87" s="112"/>
      <c r="E87" s="113">
        <f>SUM(E84:E86)</f>
        <v>115536</v>
      </c>
      <c r="F87" s="114" t="str">
        <f>IF($C$4="R","",F77+F85)</f>
        <v/>
      </c>
      <c r="G87" s="113">
        <f>SUM(G84:G86)</f>
        <v>115536</v>
      </c>
      <c r="H87" s="114" t="str">
        <f>IF($C$4="R","",H77+H85)</f>
        <v/>
      </c>
      <c r="I87" s="115">
        <f>SUM(I84:I86)</f>
        <v>119002.08</v>
      </c>
      <c r="J87" s="116" t="str">
        <f>IF($C$4="R","",J77+J85)</f>
        <v/>
      </c>
      <c r="K87" s="115">
        <f>SUM(K84:K86)</f>
        <v>122572.14240000001</v>
      </c>
      <c r="L87" s="116" t="str">
        <f>IF($C$4="R","",L77+L85)</f>
        <v/>
      </c>
      <c r="M87" s="117"/>
      <c r="N87" s="117"/>
    </row>
    <row r="88" spans="1:14" ht="57" customHeight="1" thickBot="1" x14ac:dyDescent="0.35">
      <c r="A88" s="56" t="s">
        <v>66</v>
      </c>
      <c r="B88" s="119"/>
      <c r="C88" s="120"/>
      <c r="D88" s="121"/>
      <c r="E88" s="483" t="s">
        <v>67</v>
      </c>
      <c r="F88" s="484"/>
      <c r="G88" s="483" t="s">
        <v>68</v>
      </c>
      <c r="H88" s="484"/>
      <c r="I88" s="483" t="s">
        <v>69</v>
      </c>
      <c r="J88" s="484"/>
      <c r="K88" s="483" t="s">
        <v>70</v>
      </c>
      <c r="L88" s="484"/>
      <c r="M88" s="2"/>
      <c r="N88" s="2"/>
    </row>
    <row r="89" spans="1:14" s="118" customFormat="1" ht="20.25" hidden="1" customHeight="1" outlineLevel="1" x14ac:dyDescent="0.3">
      <c r="A89" s="122"/>
      <c r="B89" s="123" t="s">
        <v>71</v>
      </c>
      <c r="C89" s="124"/>
      <c r="D89" s="125"/>
      <c r="E89" s="126">
        <v>3777.89</v>
      </c>
      <c r="F89" s="127"/>
      <c r="G89" s="128">
        <v>3778</v>
      </c>
      <c r="H89" s="127"/>
      <c r="I89" s="129">
        <f>G89*(1+$C$50)</f>
        <v>3853.56</v>
      </c>
      <c r="J89" s="130"/>
      <c r="K89" s="131">
        <f>I89*(1+$C$51)</f>
        <v>3930.6311999999998</v>
      </c>
      <c r="L89" s="132"/>
      <c r="M89" s="117"/>
      <c r="N89" s="117"/>
    </row>
    <row r="90" spans="1:14" s="118" customFormat="1" ht="20.25" hidden="1" customHeight="1" outlineLevel="1" x14ac:dyDescent="0.3">
      <c r="A90" s="122"/>
      <c r="B90" s="123" t="s">
        <v>72</v>
      </c>
      <c r="C90" s="124"/>
      <c r="D90" s="125"/>
      <c r="E90" s="126">
        <v>0</v>
      </c>
      <c r="F90" s="127"/>
      <c r="G90" s="128">
        <v>0</v>
      </c>
      <c r="H90" s="127"/>
      <c r="I90" s="129">
        <f t="shared" ref="I90:I125" si="18">G90*(1+$C$50)</f>
        <v>0</v>
      </c>
      <c r="J90" s="130"/>
      <c r="K90" s="131">
        <f>I90*(1+$C$51)</f>
        <v>0</v>
      </c>
      <c r="L90" s="132"/>
      <c r="M90" s="117"/>
      <c r="N90" s="117"/>
    </row>
    <row r="91" spans="1:14" s="118" customFormat="1" ht="20.25" hidden="1" customHeight="1" outlineLevel="1" x14ac:dyDescent="0.3">
      <c r="A91" s="122"/>
      <c r="B91" s="123" t="s">
        <v>73</v>
      </c>
      <c r="C91" s="124"/>
      <c r="D91" s="125"/>
      <c r="E91" s="126">
        <v>0</v>
      </c>
      <c r="F91" s="127"/>
      <c r="G91" s="128">
        <v>0</v>
      </c>
      <c r="H91" s="127"/>
      <c r="I91" s="129">
        <f t="shared" si="18"/>
        <v>0</v>
      </c>
      <c r="J91" s="130"/>
      <c r="K91" s="131">
        <f>I91*(1+$C$51)</f>
        <v>0</v>
      </c>
      <c r="L91" s="132"/>
      <c r="M91" s="117"/>
      <c r="N91" s="117"/>
    </row>
    <row r="92" spans="1:14" s="118" customFormat="1" ht="20.25" hidden="1" customHeight="1" outlineLevel="1" x14ac:dyDescent="0.3">
      <c r="A92" s="122"/>
      <c r="B92" s="124" t="s">
        <v>74</v>
      </c>
      <c r="C92" s="124"/>
      <c r="D92" s="125"/>
      <c r="E92" s="126"/>
      <c r="F92" s="127"/>
      <c r="G92" s="128">
        <v>0</v>
      </c>
      <c r="H92" s="127"/>
      <c r="I92" s="129">
        <f t="shared" si="18"/>
        <v>0</v>
      </c>
      <c r="J92" s="130"/>
      <c r="K92" s="131">
        <f>I92*(1+$C$51)</f>
        <v>0</v>
      </c>
      <c r="L92" s="132"/>
      <c r="M92" s="117"/>
      <c r="N92" s="117"/>
    </row>
    <row r="93" spans="1:14" ht="20.25" customHeight="1" collapsed="1" x14ac:dyDescent="0.25">
      <c r="A93" s="69" t="s">
        <v>75</v>
      </c>
      <c r="B93" s="22"/>
      <c r="C93" s="133"/>
      <c r="D93" s="134"/>
      <c r="E93" s="135">
        <f>SUM(E89:E92)</f>
        <v>3777.89</v>
      </c>
      <c r="F93" s="127">
        <f>E93/$E$87</f>
        <v>3.2698812491344688E-2</v>
      </c>
      <c r="G93" s="135">
        <f>SUM(G89:G92)</f>
        <v>3778</v>
      </c>
      <c r="H93" s="127">
        <f>G93/$G$87</f>
        <v>3.2699764575543556E-2</v>
      </c>
      <c r="I93" s="135">
        <f>SUM(I89:I92)</f>
        <v>3853.56</v>
      </c>
      <c r="J93" s="130">
        <f>I93/$I$87</f>
        <v>3.2382291133062548E-2</v>
      </c>
      <c r="K93" s="136">
        <f>SUM(K89:K92)</f>
        <v>3930.6311999999998</v>
      </c>
      <c r="L93" s="132">
        <f>K93/$K$87</f>
        <v>3.2067899957013396E-2</v>
      </c>
      <c r="M93" s="2"/>
      <c r="N93" s="2"/>
    </row>
    <row r="94" spans="1:14" ht="20.25" hidden="1" customHeight="1" outlineLevel="1" x14ac:dyDescent="0.3">
      <c r="A94" s="69"/>
      <c r="B94" s="123" t="s">
        <v>76</v>
      </c>
      <c r="C94" s="133"/>
      <c r="D94" s="134"/>
      <c r="E94" s="137">
        <v>1750</v>
      </c>
      <c r="F94" s="127"/>
      <c r="G94" s="138">
        <v>1750</v>
      </c>
      <c r="H94" s="127"/>
      <c r="I94" s="129">
        <f t="shared" si="18"/>
        <v>1785</v>
      </c>
      <c r="J94" s="130"/>
      <c r="K94" s="131">
        <f>I94*(1+$C$51)</f>
        <v>1820.7</v>
      </c>
      <c r="L94" s="132"/>
      <c r="M94" s="2"/>
      <c r="N94" s="2"/>
    </row>
    <row r="95" spans="1:14" ht="20.25" hidden="1" customHeight="1" outlineLevel="1" x14ac:dyDescent="0.3">
      <c r="A95" s="69"/>
      <c r="B95" s="123" t="s">
        <v>77</v>
      </c>
      <c r="C95" s="133"/>
      <c r="D95" s="134"/>
      <c r="E95" s="137">
        <v>0</v>
      </c>
      <c r="F95" s="127"/>
      <c r="G95" s="138">
        <v>0</v>
      </c>
      <c r="H95" s="127"/>
      <c r="I95" s="129">
        <f t="shared" si="18"/>
        <v>0</v>
      </c>
      <c r="J95" s="130"/>
      <c r="K95" s="131">
        <f>I95*(1+$C$51)</f>
        <v>0</v>
      </c>
      <c r="L95" s="132"/>
      <c r="M95" s="2"/>
      <c r="N95" s="2"/>
    </row>
    <row r="96" spans="1:14" ht="20.25" customHeight="1" collapsed="1" x14ac:dyDescent="0.25">
      <c r="A96" s="69" t="s">
        <v>78</v>
      </c>
      <c r="B96" s="133"/>
      <c r="C96" s="22"/>
      <c r="D96" s="134"/>
      <c r="E96" s="136">
        <f>SUM(E94:E95)</f>
        <v>1750</v>
      </c>
      <c r="F96" s="127">
        <f>E96/$E$87</f>
        <v>1.5146794072843096E-2</v>
      </c>
      <c r="G96" s="136">
        <f>SUM(G94:G95)</f>
        <v>1750</v>
      </c>
      <c r="H96" s="127">
        <f>G96/$G$87</f>
        <v>1.5146794072843096E-2</v>
      </c>
      <c r="I96" s="136">
        <f>SUM(I94:I95)</f>
        <v>1785</v>
      </c>
      <c r="J96" s="130">
        <f>I96/$I$87</f>
        <v>1.4999737819708698E-2</v>
      </c>
      <c r="K96" s="136">
        <f>SUM(K94:K95)</f>
        <v>1820.7</v>
      </c>
      <c r="L96" s="132">
        <f>K96/$K$87</f>
        <v>1.4854109297187253E-2</v>
      </c>
      <c r="M96" s="2"/>
      <c r="N96" s="2"/>
    </row>
    <row r="97" spans="1:14" ht="20.25" hidden="1" customHeight="1" outlineLevel="1" x14ac:dyDescent="0.3">
      <c r="A97" s="69"/>
      <c r="B97" s="123" t="s">
        <v>79</v>
      </c>
      <c r="C97" s="22"/>
      <c r="D97" s="134"/>
      <c r="E97" s="139">
        <v>17500</v>
      </c>
      <c r="F97" s="127"/>
      <c r="G97" s="140">
        <v>17500</v>
      </c>
      <c r="H97" s="127"/>
      <c r="I97" s="129">
        <f t="shared" si="18"/>
        <v>17850</v>
      </c>
      <c r="J97" s="130"/>
      <c r="K97" s="131">
        <f>I97*(1+$C$51)</f>
        <v>18207</v>
      </c>
      <c r="L97" s="132"/>
      <c r="M97" s="2"/>
      <c r="N97" s="2"/>
    </row>
    <row r="98" spans="1:14" ht="20.25" hidden="1" customHeight="1" outlineLevel="1" x14ac:dyDescent="0.3">
      <c r="A98" s="69"/>
      <c r="B98" s="123" t="s">
        <v>80</v>
      </c>
      <c r="C98" s="22"/>
      <c r="D98" s="134"/>
      <c r="E98" s="139">
        <v>0</v>
      </c>
      <c r="F98" s="127"/>
      <c r="G98" s="140">
        <v>0</v>
      </c>
      <c r="H98" s="127"/>
      <c r="I98" s="129">
        <f t="shared" si="18"/>
        <v>0</v>
      </c>
      <c r="J98" s="130"/>
      <c r="K98" s="131">
        <f>I98*(1+$C$51)</f>
        <v>0</v>
      </c>
      <c r="L98" s="132"/>
      <c r="M98" s="2"/>
      <c r="N98" s="2"/>
    </row>
    <row r="99" spans="1:14" ht="20.25" customHeight="1" collapsed="1" x14ac:dyDescent="0.25">
      <c r="A99" s="69" t="s">
        <v>72</v>
      </c>
      <c r="B99" s="22"/>
      <c r="C99" s="133"/>
      <c r="D99" s="134"/>
      <c r="E99" s="136">
        <f>SUM(E97:E98)</f>
        <v>17500</v>
      </c>
      <c r="F99" s="127">
        <f>E99/$E$87</f>
        <v>0.15146794072843098</v>
      </c>
      <c r="G99" s="136">
        <f>SUM(G97:G98)</f>
        <v>17500</v>
      </c>
      <c r="H99" s="127">
        <f>G99/$G$87</f>
        <v>0.15146794072843098</v>
      </c>
      <c r="I99" s="136">
        <f>SUM(I97:I98)</f>
        <v>17850</v>
      </c>
      <c r="J99" s="130">
        <f>I99/$I$87</f>
        <v>0.14999737819708697</v>
      </c>
      <c r="K99" s="136">
        <f>SUM(K97:K98)</f>
        <v>18207</v>
      </c>
      <c r="L99" s="132">
        <f>K99/$K$87</f>
        <v>0.14854109297187251</v>
      </c>
      <c r="M99" s="2"/>
      <c r="N99" s="2"/>
    </row>
    <row r="100" spans="1:14" ht="20.25" hidden="1" customHeight="1" outlineLevel="1" x14ac:dyDescent="0.3">
      <c r="A100" s="69"/>
      <c r="B100" s="123" t="s">
        <v>81</v>
      </c>
      <c r="C100" s="133"/>
      <c r="D100" s="134"/>
      <c r="E100" s="139">
        <v>0</v>
      </c>
      <c r="F100" s="127"/>
      <c r="G100" s="140">
        <v>0</v>
      </c>
      <c r="H100" s="127"/>
      <c r="I100" s="129">
        <f t="shared" si="18"/>
        <v>0</v>
      </c>
      <c r="J100" s="130"/>
      <c r="K100" s="131">
        <f>I100*(1+$C$51)</f>
        <v>0</v>
      </c>
      <c r="L100" s="132"/>
      <c r="M100" s="2"/>
      <c r="N100" s="2"/>
    </row>
    <row r="101" spans="1:14" ht="20.25" hidden="1" customHeight="1" outlineLevel="1" x14ac:dyDescent="0.3">
      <c r="A101" s="69"/>
      <c r="B101" s="123" t="s">
        <v>82</v>
      </c>
      <c r="C101" s="133"/>
      <c r="D101" s="134"/>
      <c r="E101" s="139">
        <v>19452.41</v>
      </c>
      <c r="F101" s="127"/>
      <c r="G101" s="140">
        <v>19453</v>
      </c>
      <c r="H101" s="127"/>
      <c r="I101" s="129">
        <f t="shared" si="18"/>
        <v>19842.060000000001</v>
      </c>
      <c r="J101" s="130"/>
      <c r="K101" s="131">
        <f>I101*(1+$C$51)</f>
        <v>20238.9012</v>
      </c>
      <c r="L101" s="132"/>
      <c r="M101" s="2"/>
      <c r="N101" s="2"/>
    </row>
    <row r="102" spans="1:14" ht="20.25" hidden="1" customHeight="1" outlineLevel="1" x14ac:dyDescent="0.3">
      <c r="A102" s="69"/>
      <c r="B102" s="123" t="s">
        <v>83</v>
      </c>
      <c r="C102" s="133"/>
      <c r="D102" s="134"/>
      <c r="E102" s="139">
        <v>6079.82</v>
      </c>
      <c r="F102" s="127"/>
      <c r="G102" s="140">
        <v>6080</v>
      </c>
      <c r="H102" s="127"/>
      <c r="I102" s="129">
        <f t="shared" si="18"/>
        <v>6201.6</v>
      </c>
      <c r="J102" s="130"/>
      <c r="K102" s="131">
        <f>I102*(1+$C$51)</f>
        <v>6325.6320000000005</v>
      </c>
      <c r="L102" s="132"/>
      <c r="M102" s="2"/>
      <c r="N102" s="2"/>
    </row>
    <row r="103" spans="1:14" ht="20.25" hidden="1" customHeight="1" outlineLevel="1" x14ac:dyDescent="0.3">
      <c r="A103" s="69"/>
      <c r="B103" s="123" t="s">
        <v>84</v>
      </c>
      <c r="C103" s="133"/>
      <c r="D103" s="134"/>
      <c r="E103" s="139">
        <v>0</v>
      </c>
      <c r="F103" s="127"/>
      <c r="G103" s="140">
        <v>0</v>
      </c>
      <c r="H103" s="127"/>
      <c r="I103" s="129">
        <f t="shared" si="18"/>
        <v>0</v>
      </c>
      <c r="J103" s="130"/>
      <c r="K103" s="131">
        <f>I103*(1+$C$51)</f>
        <v>0</v>
      </c>
      <c r="L103" s="132"/>
      <c r="M103" s="2"/>
      <c r="N103" s="2"/>
    </row>
    <row r="104" spans="1:14" ht="20.25" hidden="1" customHeight="1" outlineLevel="1" x14ac:dyDescent="0.3">
      <c r="A104" s="69"/>
      <c r="B104" s="133" t="s">
        <v>74</v>
      </c>
      <c r="C104" s="133"/>
      <c r="D104" s="134"/>
      <c r="E104" s="139">
        <v>4123.07</v>
      </c>
      <c r="F104" s="127"/>
      <c r="G104" s="140">
        <v>4123</v>
      </c>
      <c r="H104" s="127"/>
      <c r="I104" s="129">
        <f t="shared" si="18"/>
        <v>4205.46</v>
      </c>
      <c r="J104" s="130"/>
      <c r="K104" s="131">
        <f>I104*(1+$C$51)</f>
        <v>4289.5691999999999</v>
      </c>
      <c r="L104" s="132"/>
      <c r="M104" s="2"/>
      <c r="N104" s="2"/>
    </row>
    <row r="105" spans="1:14" ht="20.25" customHeight="1" collapsed="1" x14ac:dyDescent="0.25">
      <c r="A105" s="69" t="s">
        <v>24</v>
      </c>
      <c r="B105" s="22"/>
      <c r="C105" s="141"/>
      <c r="D105" s="134"/>
      <c r="E105" s="136">
        <f>SUM(E100:E104)</f>
        <v>29655.3</v>
      </c>
      <c r="F105" s="127">
        <f>E105/$E$87</f>
        <v>0.25667584129621934</v>
      </c>
      <c r="G105" s="136">
        <f>SUM(G100:G104)</f>
        <v>29656</v>
      </c>
      <c r="H105" s="127">
        <f>G105/$G$87</f>
        <v>0.2566819000138485</v>
      </c>
      <c r="I105" s="136">
        <f>SUM(I100:I104)</f>
        <v>30249.120000000003</v>
      </c>
      <c r="J105" s="130">
        <f>I105/$I$87</f>
        <v>0.25418984273216066</v>
      </c>
      <c r="K105" s="136">
        <f>SUM(K100:K104)</f>
        <v>30854.102400000003</v>
      </c>
      <c r="L105" s="132">
        <f>K105/$K$87</f>
        <v>0.25172198018136299</v>
      </c>
      <c r="M105" s="2"/>
      <c r="N105" s="2"/>
    </row>
    <row r="106" spans="1:14" ht="20.25" hidden="1" customHeight="1" outlineLevel="1" x14ac:dyDescent="0.3">
      <c r="A106" s="69"/>
      <c r="B106" s="133" t="s">
        <v>85</v>
      </c>
      <c r="C106" s="141"/>
      <c r="D106" s="134"/>
      <c r="E106" s="137">
        <v>7200</v>
      </c>
      <c r="F106" s="127"/>
      <c r="G106" s="138">
        <v>7200</v>
      </c>
      <c r="H106" s="127"/>
      <c r="I106" s="129">
        <f t="shared" si="18"/>
        <v>7344</v>
      </c>
      <c r="J106" s="130"/>
      <c r="K106" s="131">
        <f>I106*(1+$C$51)</f>
        <v>7490.88</v>
      </c>
      <c r="L106" s="132"/>
      <c r="M106" s="2"/>
      <c r="N106" s="2"/>
    </row>
    <row r="107" spans="1:14" ht="20.25" customHeight="1" collapsed="1" x14ac:dyDescent="0.25">
      <c r="A107" s="69" t="s">
        <v>85</v>
      </c>
      <c r="B107" s="22"/>
      <c r="C107" s="141"/>
      <c r="D107" s="134"/>
      <c r="E107" s="142">
        <f>SUM(E106)</f>
        <v>7200</v>
      </c>
      <c r="F107" s="130">
        <f>E107/$E$87</f>
        <v>6.2318238471125879E-2</v>
      </c>
      <c r="G107" s="142">
        <f>SUM(G106)</f>
        <v>7200</v>
      </c>
      <c r="H107" s="127">
        <f>G107/$G$87</f>
        <v>6.2318238471125879E-2</v>
      </c>
      <c r="I107" s="143">
        <f>SUM(I106)</f>
        <v>7344</v>
      </c>
      <c r="J107" s="130">
        <f>I107/$I$87</f>
        <v>6.1713207029658643E-2</v>
      </c>
      <c r="K107" s="131">
        <f>SUM(K106)</f>
        <v>7490.88</v>
      </c>
      <c r="L107" s="132">
        <f>K107/$K$87</f>
        <v>6.1114049679856126E-2</v>
      </c>
      <c r="M107" s="2"/>
      <c r="N107" s="2"/>
    </row>
    <row r="108" spans="1:14" ht="20.25" hidden="1" customHeight="1" outlineLevel="1" x14ac:dyDescent="0.3">
      <c r="A108" s="69"/>
      <c r="B108" s="123" t="s">
        <v>86</v>
      </c>
      <c r="C108" s="141"/>
      <c r="D108" s="134"/>
      <c r="E108" s="137">
        <v>0</v>
      </c>
      <c r="F108" s="127"/>
      <c r="G108" s="138">
        <v>0</v>
      </c>
      <c r="H108" s="127"/>
      <c r="I108" s="129">
        <f t="shared" si="18"/>
        <v>0</v>
      </c>
      <c r="J108" s="130"/>
      <c r="K108" s="131">
        <f>I108*(1+$C$51)</f>
        <v>0</v>
      </c>
      <c r="L108" s="132"/>
      <c r="M108" s="2"/>
      <c r="N108" s="2"/>
    </row>
    <row r="109" spans="1:14" ht="20.25" hidden="1" customHeight="1" outlineLevel="1" x14ac:dyDescent="0.3">
      <c r="A109" s="69"/>
      <c r="B109" s="123" t="s">
        <v>87</v>
      </c>
      <c r="C109" s="141"/>
      <c r="D109" s="134"/>
      <c r="E109" s="137">
        <v>0</v>
      </c>
      <c r="F109" s="127"/>
      <c r="G109" s="138">
        <v>0</v>
      </c>
      <c r="H109" s="127"/>
      <c r="I109" s="129">
        <f t="shared" si="18"/>
        <v>0</v>
      </c>
      <c r="J109" s="130"/>
      <c r="K109" s="131">
        <f>I109*(1+$C$51)</f>
        <v>0</v>
      </c>
      <c r="L109" s="132"/>
      <c r="M109" s="2"/>
      <c r="N109" s="2"/>
    </row>
    <row r="110" spans="1:14" ht="20.25" hidden="1" customHeight="1" outlineLevel="1" x14ac:dyDescent="0.3">
      <c r="A110" s="69"/>
      <c r="B110" s="123" t="s">
        <v>88</v>
      </c>
      <c r="C110" s="141"/>
      <c r="D110" s="134"/>
      <c r="E110" s="137">
        <v>1500</v>
      </c>
      <c r="F110" s="127"/>
      <c r="G110" s="138">
        <v>1500</v>
      </c>
      <c r="H110" s="127"/>
      <c r="I110" s="129">
        <f t="shared" si="18"/>
        <v>1530</v>
      </c>
      <c r="J110" s="130"/>
      <c r="K110" s="131">
        <f>I110*(1+$C$51)</f>
        <v>1560.6000000000001</v>
      </c>
      <c r="L110" s="132"/>
      <c r="M110" s="2"/>
      <c r="N110" s="2"/>
    </row>
    <row r="111" spans="1:14" ht="20.25" hidden="1" customHeight="1" outlineLevel="1" x14ac:dyDescent="0.3">
      <c r="A111" s="69"/>
      <c r="B111" s="123" t="s">
        <v>89</v>
      </c>
      <c r="C111" s="141"/>
      <c r="D111" s="134"/>
      <c r="E111" s="137">
        <v>0</v>
      </c>
      <c r="F111" s="127"/>
      <c r="G111" s="138">
        <v>0</v>
      </c>
      <c r="H111" s="127"/>
      <c r="I111" s="129">
        <f t="shared" si="18"/>
        <v>0</v>
      </c>
      <c r="J111" s="130"/>
      <c r="K111" s="131">
        <f>I111*(1+$C$51)</f>
        <v>0</v>
      </c>
      <c r="L111" s="132"/>
      <c r="M111" s="2"/>
      <c r="N111" s="2"/>
    </row>
    <row r="112" spans="1:14" ht="20.25" customHeight="1" collapsed="1" x14ac:dyDescent="0.25">
      <c r="A112" s="69" t="s">
        <v>90</v>
      </c>
      <c r="B112" s="124"/>
      <c r="C112" s="22"/>
      <c r="D112" s="134"/>
      <c r="E112" s="135">
        <f>SUM(E108:E111)</f>
        <v>1500</v>
      </c>
      <c r="F112" s="127">
        <f>E112/$E$87</f>
        <v>1.2982966348151225E-2</v>
      </c>
      <c r="G112" s="135">
        <f>SUM(G108:G111)</f>
        <v>1500</v>
      </c>
      <c r="H112" s="127">
        <f>G112/$G$87</f>
        <v>1.2982966348151225E-2</v>
      </c>
      <c r="I112" s="135">
        <f>SUM(I108:I111)</f>
        <v>1530</v>
      </c>
      <c r="J112" s="130">
        <f>I112/$I$87</f>
        <v>1.2856918131178884E-2</v>
      </c>
      <c r="K112" s="136">
        <f>SUM(K108:K111)</f>
        <v>1560.6000000000001</v>
      </c>
      <c r="L112" s="132">
        <f>K112/$K$87</f>
        <v>1.273209368330336E-2</v>
      </c>
      <c r="M112" s="2"/>
      <c r="N112" s="2"/>
    </row>
    <row r="113" spans="1:14" ht="20.25" hidden="1" customHeight="1" outlineLevel="1" x14ac:dyDescent="0.3">
      <c r="A113" s="69"/>
      <c r="B113" s="123" t="s">
        <v>91</v>
      </c>
      <c r="C113" s="22"/>
      <c r="D113" s="134"/>
      <c r="E113" s="137">
        <v>5000</v>
      </c>
      <c r="F113" s="127"/>
      <c r="G113" s="138">
        <v>5000</v>
      </c>
      <c r="H113" s="127"/>
      <c r="I113" s="129">
        <f t="shared" si="18"/>
        <v>5100</v>
      </c>
      <c r="J113" s="130"/>
      <c r="K113" s="131">
        <f>I113*(1+$C$51)</f>
        <v>5202</v>
      </c>
      <c r="L113" s="132"/>
      <c r="M113" s="2"/>
      <c r="N113" s="2"/>
    </row>
    <row r="114" spans="1:14" ht="20.25" hidden="1" customHeight="1" outlineLevel="1" x14ac:dyDescent="0.3">
      <c r="A114" s="69"/>
      <c r="B114" s="123" t="s">
        <v>92</v>
      </c>
      <c r="C114" s="22"/>
      <c r="D114" s="134"/>
      <c r="E114" s="137">
        <v>0</v>
      </c>
      <c r="F114" s="127"/>
      <c r="G114" s="138">
        <v>0</v>
      </c>
      <c r="H114" s="127"/>
      <c r="I114" s="129">
        <f t="shared" si="18"/>
        <v>0</v>
      </c>
      <c r="J114" s="130"/>
      <c r="K114" s="131">
        <f>I114*(1+$C$51)</f>
        <v>0</v>
      </c>
      <c r="L114" s="132"/>
      <c r="M114" s="2"/>
      <c r="N114" s="2"/>
    </row>
    <row r="115" spans="1:14" ht="20.25" customHeight="1" collapsed="1" x14ac:dyDescent="0.25">
      <c r="A115" s="69" t="s">
        <v>93</v>
      </c>
      <c r="B115" s="124"/>
      <c r="C115" s="22"/>
      <c r="D115" s="134"/>
      <c r="E115" s="135">
        <f>SUM(E113:E114)</f>
        <v>5000</v>
      </c>
      <c r="F115" s="127">
        <f>E115/$E$87</f>
        <v>4.3276554493837417E-2</v>
      </c>
      <c r="G115" s="135">
        <f>SUM(G113:G114)</f>
        <v>5000</v>
      </c>
      <c r="H115" s="127">
        <f>G115/$G$87</f>
        <v>4.3276554493837417E-2</v>
      </c>
      <c r="I115" s="135">
        <f>SUM(I113:I114)</f>
        <v>5100</v>
      </c>
      <c r="J115" s="130">
        <f>I115/$I$87</f>
        <v>4.2856393770596281E-2</v>
      </c>
      <c r="K115" s="136">
        <f>SUM(K113:K114)</f>
        <v>5202</v>
      </c>
      <c r="L115" s="132">
        <f>K115/$K$87</f>
        <v>4.2440312277677861E-2</v>
      </c>
      <c r="M115" s="2"/>
      <c r="N115" s="2"/>
    </row>
    <row r="116" spans="1:14" ht="20.25" hidden="1" customHeight="1" outlineLevel="1" x14ac:dyDescent="0.3">
      <c r="A116" s="69"/>
      <c r="B116" s="123" t="s">
        <v>94</v>
      </c>
      <c r="C116" s="22"/>
      <c r="D116" s="134"/>
      <c r="E116" s="137">
        <v>3359</v>
      </c>
      <c r="F116" s="127"/>
      <c r="G116" s="138">
        <v>3359</v>
      </c>
      <c r="H116" s="127"/>
      <c r="I116" s="129">
        <f t="shared" si="18"/>
        <v>3426.18</v>
      </c>
      <c r="J116" s="130"/>
      <c r="K116" s="131">
        <f>I116*(1+$C$51)</f>
        <v>3494.7035999999998</v>
      </c>
      <c r="L116" s="132"/>
      <c r="M116" s="2"/>
      <c r="N116" s="2"/>
    </row>
    <row r="117" spans="1:14" ht="20.25" hidden="1" customHeight="1" outlineLevel="1" x14ac:dyDescent="0.3">
      <c r="A117" s="69"/>
      <c r="B117" s="123" t="s">
        <v>95</v>
      </c>
      <c r="C117" s="22"/>
      <c r="D117" s="134"/>
      <c r="E117" s="137">
        <v>0</v>
      </c>
      <c r="F117" s="127"/>
      <c r="G117" s="138">
        <v>0</v>
      </c>
      <c r="H117" s="127"/>
      <c r="I117" s="129">
        <f t="shared" si="18"/>
        <v>0</v>
      </c>
      <c r="J117" s="130"/>
      <c r="K117" s="131">
        <f>I117*(1+$C$51)</f>
        <v>0</v>
      </c>
      <c r="L117" s="132"/>
      <c r="M117" s="2"/>
      <c r="N117" s="2"/>
    </row>
    <row r="118" spans="1:14" ht="20.25" hidden="1" customHeight="1" outlineLevel="1" x14ac:dyDescent="0.3">
      <c r="A118" s="69"/>
      <c r="B118" s="123" t="s">
        <v>96</v>
      </c>
      <c r="C118" s="22"/>
      <c r="D118" s="134"/>
      <c r="E118" s="137">
        <v>0</v>
      </c>
      <c r="F118" s="127"/>
      <c r="G118" s="138">
        <v>0</v>
      </c>
      <c r="H118" s="127"/>
      <c r="I118" s="129">
        <f t="shared" si="18"/>
        <v>0</v>
      </c>
      <c r="J118" s="130"/>
      <c r="K118" s="131">
        <f>I118*(1+$C$51)</f>
        <v>0</v>
      </c>
      <c r="L118" s="132"/>
      <c r="M118" s="2"/>
      <c r="N118" s="2"/>
    </row>
    <row r="119" spans="1:14" ht="20.25" hidden="1" customHeight="1" outlineLevel="1" x14ac:dyDescent="0.3">
      <c r="A119" s="69"/>
      <c r="B119" s="123" t="s">
        <v>97</v>
      </c>
      <c r="C119" s="22"/>
      <c r="D119" s="134"/>
      <c r="E119" s="137">
        <v>0</v>
      </c>
      <c r="F119" s="127"/>
      <c r="G119" s="138">
        <v>0</v>
      </c>
      <c r="H119" s="127"/>
      <c r="I119" s="129">
        <f t="shared" si="18"/>
        <v>0</v>
      </c>
      <c r="J119" s="130"/>
      <c r="K119" s="131">
        <f>I119*(1+$C$51)</f>
        <v>0</v>
      </c>
      <c r="L119" s="132"/>
      <c r="M119" s="2"/>
      <c r="N119" s="2"/>
    </row>
    <row r="120" spans="1:14" ht="20.25" hidden="1" customHeight="1" outlineLevel="1" x14ac:dyDescent="0.3">
      <c r="A120" s="69"/>
      <c r="B120" s="124" t="s">
        <v>74</v>
      </c>
      <c r="C120" s="22"/>
      <c r="D120" s="134"/>
      <c r="E120" s="137">
        <v>0</v>
      </c>
      <c r="F120" s="127"/>
      <c r="G120" s="138">
        <v>0</v>
      </c>
      <c r="H120" s="127"/>
      <c r="I120" s="129">
        <f t="shared" si="18"/>
        <v>0</v>
      </c>
      <c r="J120" s="130"/>
      <c r="K120" s="131">
        <f>I120*(1+$C$51)</f>
        <v>0</v>
      </c>
      <c r="L120" s="132"/>
      <c r="M120" s="2"/>
      <c r="N120" s="2"/>
    </row>
    <row r="121" spans="1:14" ht="20.25" customHeight="1" collapsed="1" x14ac:dyDescent="0.25">
      <c r="A121" s="69" t="s">
        <v>98</v>
      </c>
      <c r="B121" s="144"/>
      <c r="C121" s="22"/>
      <c r="D121" s="134"/>
      <c r="E121" s="135">
        <f>SUM(E116:E120)</f>
        <v>3359</v>
      </c>
      <c r="F121" s="127">
        <f>E121/$E$87</f>
        <v>2.9073189308959978E-2</v>
      </c>
      <c r="G121" s="135">
        <f>SUM(G116:G120)</f>
        <v>3359</v>
      </c>
      <c r="H121" s="127">
        <f>G121/$G$87</f>
        <v>2.9073189308959978E-2</v>
      </c>
      <c r="I121" s="135">
        <f>SUM(I116:I120)</f>
        <v>3426.18</v>
      </c>
      <c r="J121" s="130">
        <f>I121/$I$87</f>
        <v>2.8790925335086578E-2</v>
      </c>
      <c r="K121" s="136">
        <f>SUM(K116:K120)</f>
        <v>3494.7035999999998</v>
      </c>
      <c r="L121" s="132">
        <f>K121/$K$87</f>
        <v>2.8511401788143986E-2</v>
      </c>
      <c r="M121" s="2"/>
      <c r="N121" s="2"/>
    </row>
    <row r="122" spans="1:14" ht="20.25" hidden="1" customHeight="1" outlineLevel="1" x14ac:dyDescent="0.3">
      <c r="A122" s="69"/>
      <c r="B122" s="123" t="s">
        <v>99</v>
      </c>
      <c r="C122" s="22"/>
      <c r="D122" s="134"/>
      <c r="E122" s="137">
        <v>7294.41</v>
      </c>
      <c r="F122" s="127"/>
      <c r="G122" s="138">
        <v>7294</v>
      </c>
      <c r="H122" s="127"/>
      <c r="I122" s="129">
        <f t="shared" si="18"/>
        <v>7439.88</v>
      </c>
      <c r="J122" s="130"/>
      <c r="K122" s="131">
        <f>I122*(1+$C$51)</f>
        <v>7588.6776</v>
      </c>
      <c r="L122" s="132"/>
      <c r="M122" s="2"/>
      <c r="N122" s="2"/>
    </row>
    <row r="123" spans="1:14" ht="20.25" hidden="1" customHeight="1" outlineLevel="1" x14ac:dyDescent="0.3">
      <c r="A123" s="69"/>
      <c r="B123" s="123" t="s">
        <v>100</v>
      </c>
      <c r="C123" s="22"/>
      <c r="D123" s="134"/>
      <c r="E123" s="137">
        <v>245</v>
      </c>
      <c r="F123" s="127"/>
      <c r="G123" s="138">
        <v>245</v>
      </c>
      <c r="H123" s="127"/>
      <c r="I123" s="129">
        <f t="shared" si="18"/>
        <v>249.9</v>
      </c>
      <c r="J123" s="130"/>
      <c r="K123" s="131">
        <f>I123*(1+$C$51)</f>
        <v>254.898</v>
      </c>
      <c r="L123" s="132"/>
      <c r="M123" s="2"/>
      <c r="N123" s="2"/>
    </row>
    <row r="124" spans="1:14" ht="20.25" hidden="1" customHeight="1" outlineLevel="1" x14ac:dyDescent="0.3">
      <c r="A124" s="69"/>
      <c r="B124" s="123" t="s">
        <v>101</v>
      </c>
      <c r="C124" s="22"/>
      <c r="D124" s="134"/>
      <c r="E124" s="137">
        <v>0</v>
      </c>
      <c r="F124" s="127"/>
      <c r="G124" s="138">
        <v>0</v>
      </c>
      <c r="H124" s="127"/>
      <c r="I124" s="129">
        <f t="shared" si="18"/>
        <v>0</v>
      </c>
      <c r="J124" s="130"/>
      <c r="K124" s="131">
        <f>I124*(1+$C$51)</f>
        <v>0</v>
      </c>
      <c r="L124" s="132"/>
      <c r="M124" s="2"/>
      <c r="N124" s="2"/>
    </row>
    <row r="125" spans="1:14" ht="20.25" hidden="1" customHeight="1" outlineLevel="1" x14ac:dyDescent="0.3">
      <c r="A125" s="69"/>
      <c r="B125" s="144" t="s">
        <v>74</v>
      </c>
      <c r="C125" s="22"/>
      <c r="D125" s="134"/>
      <c r="E125" s="137">
        <v>7200</v>
      </c>
      <c r="F125" s="127"/>
      <c r="G125" s="138">
        <v>7200</v>
      </c>
      <c r="H125" s="127"/>
      <c r="I125" s="129">
        <f t="shared" si="18"/>
        <v>7344</v>
      </c>
      <c r="J125" s="130"/>
      <c r="K125" s="131">
        <f>I125*(1+$C$51)</f>
        <v>7490.88</v>
      </c>
      <c r="L125" s="132"/>
      <c r="M125" s="2"/>
      <c r="N125" s="2"/>
    </row>
    <row r="126" spans="1:14" ht="20.25" customHeight="1" collapsed="1" x14ac:dyDescent="0.25">
      <c r="A126" s="69" t="s">
        <v>102</v>
      </c>
      <c r="B126" s="144"/>
      <c r="C126" s="22"/>
      <c r="D126" s="70"/>
      <c r="E126" s="135">
        <f>SUM(E122:E125)</f>
        <v>14739.41</v>
      </c>
      <c r="F126" s="127">
        <f>E126/$E$87</f>
        <v>0.12757417601440244</v>
      </c>
      <c r="G126" s="135">
        <f>SUM(G122:G125)</f>
        <v>14739</v>
      </c>
      <c r="H126" s="127">
        <f>G126/$G$87</f>
        <v>0.12757062733693394</v>
      </c>
      <c r="I126" s="135">
        <f>SUM(I122:I125)</f>
        <v>15033.779999999999</v>
      </c>
      <c r="J126" s="130">
        <f>I126/$I$87</f>
        <v>0.12633207755696371</v>
      </c>
      <c r="K126" s="136">
        <f>SUM(K122:K125)</f>
        <v>15334.455600000001</v>
      </c>
      <c r="L126" s="132">
        <f>K126/$K$87</f>
        <v>0.12510555253213881</v>
      </c>
      <c r="M126" s="2"/>
      <c r="N126" s="2"/>
    </row>
    <row r="127" spans="1:14" ht="20.25" customHeight="1" x14ac:dyDescent="0.25">
      <c r="A127" s="69" t="s">
        <v>103</v>
      </c>
      <c r="B127" s="144"/>
      <c r="C127" s="145"/>
      <c r="D127" s="70"/>
      <c r="E127" s="135">
        <v>15000</v>
      </c>
      <c r="F127" s="127">
        <f>E127/$E$87</f>
        <v>0.12982966348151226</v>
      </c>
      <c r="G127" s="135">
        <v>15000</v>
      </c>
      <c r="H127" s="127">
        <f>G127/$G$87</f>
        <v>0.12982966348151226</v>
      </c>
      <c r="I127" s="136">
        <f>G127*(1+$C$50)</f>
        <v>15300</v>
      </c>
      <c r="J127" s="130">
        <f>I127/$I$87</f>
        <v>0.12856918131178882</v>
      </c>
      <c r="K127" s="131">
        <f>I127*(1+$C$51)</f>
        <v>15606</v>
      </c>
      <c r="L127" s="132">
        <f>K127/$K$87</f>
        <v>0.12732093683303358</v>
      </c>
      <c r="M127" s="2"/>
      <c r="N127" s="2"/>
    </row>
    <row r="128" spans="1:14" x14ac:dyDescent="0.25">
      <c r="A128" s="69"/>
      <c r="B128" s="146"/>
      <c r="C128" s="22"/>
      <c r="D128" s="134"/>
      <c r="E128" s="135"/>
      <c r="F128" s="127"/>
      <c r="G128" s="135"/>
      <c r="H128" s="127"/>
      <c r="I128" s="136"/>
      <c r="J128" s="147"/>
      <c r="K128" s="131"/>
      <c r="L128" s="148"/>
      <c r="M128" s="2"/>
      <c r="N128" s="2"/>
    </row>
    <row r="129" spans="1:14" ht="16.5" x14ac:dyDescent="0.3">
      <c r="A129" s="61" t="s">
        <v>104</v>
      </c>
      <c r="B129" s="149"/>
      <c r="C129" s="133"/>
      <c r="D129" s="150"/>
      <c r="E129" s="64">
        <f>E93+E96+E99+E105+E107+E112+E115+E121+E126+E127</f>
        <v>99481.600000000006</v>
      </c>
      <c r="F129" s="151">
        <f>E129/E87</f>
        <v>0.86104417670682731</v>
      </c>
      <c r="G129" s="64">
        <f>G93+G96+G99+G105+G107+G112+G115+G121+G126+G127</f>
        <v>99482</v>
      </c>
      <c r="H129" s="151">
        <f>G129/G87</f>
        <v>0.86104763883118685</v>
      </c>
      <c r="I129" s="64">
        <f>I93+I96+I99+I105+I107+I112+I115+I121+I126+I127</f>
        <v>101471.63999999998</v>
      </c>
      <c r="J129" s="152">
        <f>I129/I87</f>
        <v>0.85268795301729161</v>
      </c>
      <c r="K129" s="153">
        <f>K93+K96+K99+K105+K107+K112+K115+K121+K126+K127</f>
        <v>103501.07279999999</v>
      </c>
      <c r="L129" s="154">
        <f>K129/K87</f>
        <v>0.84440942920158979</v>
      </c>
      <c r="M129" s="155"/>
      <c r="N129" s="2"/>
    </row>
    <row r="130" spans="1:14" ht="6" customHeight="1" x14ac:dyDescent="0.25">
      <c r="A130" s="69"/>
      <c r="B130" s="156"/>
      <c r="C130" s="133"/>
      <c r="D130" s="150"/>
      <c r="E130" s="135"/>
      <c r="F130" s="157"/>
      <c r="G130" s="135"/>
      <c r="H130" s="157"/>
      <c r="I130" s="136"/>
      <c r="J130" s="147"/>
      <c r="K130" s="131"/>
      <c r="L130" s="148"/>
      <c r="M130" s="155"/>
      <c r="N130" s="2"/>
    </row>
    <row r="131" spans="1:14" x14ac:dyDescent="0.25">
      <c r="A131" s="69"/>
      <c r="B131" s="156"/>
      <c r="C131" s="133"/>
      <c r="D131" s="158" t="str">
        <f>IF(C4="R","Expenses Per Unit:","")</f>
        <v>Expenses Per Unit:</v>
      </c>
      <c r="E131" s="135">
        <f>IF($C$4="R",E129/$A$77,"")</f>
        <v>3430.4</v>
      </c>
      <c r="F131" s="157"/>
      <c r="G131" s="135">
        <f>IF($C$4="R",G129/$A$77,"")</f>
        <v>3430.4137931034484</v>
      </c>
      <c r="H131" s="157"/>
      <c r="I131" s="136">
        <f>IF($C$4="R",I129/$A$77,"")</f>
        <v>3499.0220689655166</v>
      </c>
      <c r="J131" s="147"/>
      <c r="K131" s="131">
        <f>IF($C$4="R",K129/$A$77,"")</f>
        <v>3569.0025103448274</v>
      </c>
      <c r="L131" s="148"/>
      <c r="M131" s="155"/>
      <c r="N131" s="2"/>
    </row>
    <row r="132" spans="1:14" x14ac:dyDescent="0.25">
      <c r="A132" s="69"/>
      <c r="B132" s="22"/>
      <c r="C132" s="133"/>
      <c r="D132" s="159" t="s">
        <v>105</v>
      </c>
      <c r="E132" s="160">
        <f>IF($C$4="R",(E129/$D$77)/12,E129/$D$77)</f>
        <v>0.43979487179487181</v>
      </c>
      <c r="F132" s="161"/>
      <c r="G132" s="160">
        <f>IF($C$4="R",(G129/$D$77)/12,G129/$D$77)</f>
        <v>0.43979664014146774</v>
      </c>
      <c r="H132" s="161"/>
      <c r="I132" s="162">
        <f>IF($C$4="R",(I129/$D$77)/12,I129/$D$77)</f>
        <v>0.448592572944297</v>
      </c>
      <c r="J132" s="163"/>
      <c r="K132" s="164">
        <f>IF($C$4="R",(K129/$D$77)/12,K129/$D$77)</f>
        <v>0.45756442440318296</v>
      </c>
      <c r="L132" s="148"/>
      <c r="M132" s="155"/>
      <c r="N132" s="2"/>
    </row>
    <row r="133" spans="1:14" x14ac:dyDescent="0.25">
      <c r="A133" s="69"/>
      <c r="B133" s="22"/>
      <c r="C133" s="22"/>
      <c r="D133" s="70"/>
      <c r="E133" s="160"/>
      <c r="F133" s="165"/>
      <c r="G133" s="160"/>
      <c r="H133" s="165"/>
      <c r="I133" s="166"/>
      <c r="J133" s="147"/>
      <c r="K133" s="164"/>
      <c r="L133" s="148"/>
      <c r="M133" s="155"/>
      <c r="N133" s="2"/>
    </row>
    <row r="134" spans="1:14" s="29" customFormat="1" ht="17.25" thickBot="1" x14ac:dyDescent="0.35">
      <c r="A134" s="167" t="s">
        <v>106</v>
      </c>
      <c r="B134" s="168"/>
      <c r="C134" s="168"/>
      <c r="D134" s="169"/>
      <c r="E134" s="170">
        <f>E87-E129</f>
        <v>16054.399999999994</v>
      </c>
      <c r="F134" s="171"/>
      <c r="G134" s="170">
        <f>G87-G129</f>
        <v>16054</v>
      </c>
      <c r="H134" s="171"/>
      <c r="I134" s="172">
        <f>I87-I129</f>
        <v>17530.440000000017</v>
      </c>
      <c r="J134" s="173"/>
      <c r="K134" s="172">
        <f>K87-K129</f>
        <v>19071.069600000017</v>
      </c>
      <c r="L134" s="173"/>
      <c r="M134" s="174"/>
      <c r="N134" s="175"/>
    </row>
    <row r="135" spans="1:14" s="29" customFormat="1" ht="33.75" customHeight="1" thickTop="1" x14ac:dyDescent="0.3">
      <c r="A135" s="176" t="s">
        <v>107</v>
      </c>
      <c r="B135" s="177"/>
      <c r="C135" s="177"/>
      <c r="D135" s="178" t="s">
        <v>108</v>
      </c>
      <c r="E135" s="179" t="s">
        <v>109</v>
      </c>
      <c r="F135" s="180" t="s">
        <v>110</v>
      </c>
      <c r="G135" s="179" t="s">
        <v>109</v>
      </c>
      <c r="H135" s="180" t="s">
        <v>110</v>
      </c>
      <c r="I135" s="179" t="s">
        <v>109</v>
      </c>
      <c r="J135" s="180" t="s">
        <v>110</v>
      </c>
      <c r="K135" s="179" t="s">
        <v>109</v>
      </c>
      <c r="L135" s="180" t="s">
        <v>110</v>
      </c>
      <c r="M135" s="174"/>
      <c r="N135" s="175"/>
    </row>
    <row r="136" spans="1:14" s="4" customFormat="1" ht="16.5" x14ac:dyDescent="0.3">
      <c r="A136" s="181"/>
      <c r="B136" s="182"/>
      <c r="C136" s="183"/>
      <c r="D136" s="184">
        <f>B141</f>
        <v>720000</v>
      </c>
      <c r="E136" s="185">
        <f>E134-I146</f>
        <v>-17261.301734232627</v>
      </c>
      <c r="F136" s="186">
        <f>E136/C146</f>
        <v>-9.5896120745736821E-2</v>
      </c>
      <c r="G136" s="185">
        <f>G134-I146</f>
        <v>-17261.701734232622</v>
      </c>
      <c r="H136" s="186">
        <f>G136/C146</f>
        <v>-9.5898342967959016E-2</v>
      </c>
      <c r="I136" s="187">
        <f>I134-I146</f>
        <v>-15785.261734232605</v>
      </c>
      <c r="J136" s="188">
        <f>I136/C146</f>
        <v>-8.7695898523514476E-2</v>
      </c>
      <c r="K136" s="189">
        <f>K134-I146</f>
        <v>-14244.632134232605</v>
      </c>
      <c r="L136" s="190">
        <f>K136/C146</f>
        <v>-7.9136845190181132E-2</v>
      </c>
      <c r="M136" s="155"/>
      <c r="N136" s="11"/>
    </row>
    <row r="137" spans="1:14" s="4" customFormat="1" ht="19.5" customHeight="1" x14ac:dyDescent="0.3">
      <c r="A137" s="181"/>
      <c r="B137" s="182"/>
      <c r="C137" s="183"/>
      <c r="D137" s="184">
        <f>B142</f>
        <v>805000</v>
      </c>
      <c r="E137" s="185">
        <f>E134-I147</f>
        <v>-21194.405411190644</v>
      </c>
      <c r="F137" s="191">
        <f>E137/C147</f>
        <v>-0.1053138157077796</v>
      </c>
      <c r="G137" s="185">
        <f>G134-I147</f>
        <v>-21194.805411190639</v>
      </c>
      <c r="H137" s="191">
        <f>G137/C147</f>
        <v>-0.10531580328541933</v>
      </c>
      <c r="I137" s="192">
        <f>I134-I147</f>
        <v>-19718.365411190622</v>
      </c>
      <c r="J137" s="193">
        <f>I137/C147</f>
        <v>-9.7979455459332288E-2</v>
      </c>
      <c r="K137" s="189">
        <f>K134-I147</f>
        <v>-18177.735811190621</v>
      </c>
      <c r="L137" s="190">
        <f>K137/C147</f>
        <v>-9.0324153099083829E-2</v>
      </c>
      <c r="M137" s="155"/>
      <c r="N137" s="11"/>
    </row>
    <row r="138" spans="1:14" s="4" customFormat="1" ht="19.5" customHeight="1" thickBot="1" x14ac:dyDescent="0.35">
      <c r="A138" s="194"/>
      <c r="B138" s="195"/>
      <c r="C138" s="196"/>
      <c r="D138" s="197">
        <f>B143</f>
        <v>905000</v>
      </c>
      <c r="E138" s="198">
        <f>E134-I148</f>
        <v>-25821.58620761185</v>
      </c>
      <c r="F138" s="199">
        <f>E138/C148</f>
        <v>-0.11412855782369878</v>
      </c>
      <c r="G138" s="198">
        <f>G134-I148</f>
        <v>-25821.986207611844</v>
      </c>
      <c r="H138" s="199">
        <f>G138/C148</f>
        <v>-0.11413032577949986</v>
      </c>
      <c r="I138" s="200">
        <f>I134-I148</f>
        <v>-24345.546207611827</v>
      </c>
      <c r="J138" s="201">
        <f>I138/C148</f>
        <v>-0.10760462412204122</v>
      </c>
      <c r="K138" s="202">
        <f>K134-I148</f>
        <v>-22804.916607611827</v>
      </c>
      <c r="L138" s="203">
        <f>K138/C148</f>
        <v>-0.10079521152535614</v>
      </c>
      <c r="M138" s="155"/>
      <c r="N138" s="11"/>
    </row>
    <row r="139" spans="1:14" ht="17.25" thickBot="1" x14ac:dyDescent="0.35">
      <c r="A139" s="204"/>
      <c r="B139" s="22"/>
      <c r="C139" s="22"/>
      <c r="D139" s="22"/>
      <c r="E139" s="17"/>
      <c r="F139" s="17"/>
      <c r="G139" s="17"/>
      <c r="H139" s="17"/>
      <c r="I139" s="205"/>
      <c r="J139" s="206"/>
      <c r="K139" s="206"/>
      <c r="L139" s="148"/>
      <c r="M139" s="2"/>
    </row>
    <row r="140" spans="1:14" ht="24.75" customHeight="1" x14ac:dyDescent="0.3">
      <c r="A140" s="207" t="s">
        <v>111</v>
      </c>
      <c r="B140" s="208" t="s">
        <v>108</v>
      </c>
      <c r="C140" s="209" t="str">
        <f>IF(C4="R","Cost/Unit","")</f>
        <v>Cost/Unit</v>
      </c>
      <c r="D140" s="209" t="s">
        <v>112</v>
      </c>
      <c r="E140" s="209" t="s">
        <v>113</v>
      </c>
      <c r="F140" s="208" t="s">
        <v>114</v>
      </c>
      <c r="G140" s="209" t="s">
        <v>113</v>
      </c>
      <c r="H140" s="210" t="s">
        <v>114</v>
      </c>
      <c r="I140" s="208"/>
      <c r="J140" s="208" t="s">
        <v>114</v>
      </c>
      <c r="K140" s="209"/>
      <c r="L140" s="211" t="s">
        <v>114</v>
      </c>
      <c r="M140" s="2"/>
    </row>
    <row r="141" spans="1:14" s="118" customFormat="1" ht="21" customHeight="1" x14ac:dyDescent="0.25">
      <c r="A141" s="212" t="str">
        <f>C10</f>
        <v>Scenario 1</v>
      </c>
      <c r="B141" s="213">
        <f>C43</f>
        <v>720000</v>
      </c>
      <c r="C141" s="213">
        <f>IF($C$4="R",B141/$A$77,"")</f>
        <v>24827.586206896551</v>
      </c>
      <c r="D141" s="214">
        <f>B141/D77</f>
        <v>38.196286472148543</v>
      </c>
      <c r="E141" s="215">
        <f>B141/$E$87</f>
        <v>6.2318238471125884</v>
      </c>
      <c r="F141" s="216">
        <f>$E$134/B141</f>
        <v>2.2297777777777771E-2</v>
      </c>
      <c r="G141" s="215">
        <f>B141/$G$87</f>
        <v>6.2318238471125884</v>
      </c>
      <c r="H141" s="217">
        <f>G134/B141</f>
        <v>2.2297222222222222E-2</v>
      </c>
      <c r="I141" s="214"/>
      <c r="J141" s="217">
        <f>I134/B141</f>
        <v>2.4347833333333357E-2</v>
      </c>
      <c r="K141" s="214"/>
      <c r="L141" s="218">
        <f>K134/B141</f>
        <v>2.6487596666666689E-2</v>
      </c>
      <c r="M141" s="117"/>
    </row>
    <row r="142" spans="1:14" ht="21" customHeight="1" x14ac:dyDescent="0.25">
      <c r="A142" s="212" t="str">
        <f>E10</f>
        <v>Scenario 2</v>
      </c>
      <c r="B142" s="219">
        <f>E43</f>
        <v>805000</v>
      </c>
      <c r="C142" s="220">
        <f>IF($C$4="R",B142/$A$77,"")</f>
        <v>27758.620689655174</v>
      </c>
      <c r="D142" s="221">
        <f>B142/D77</f>
        <v>42.705570291777185</v>
      </c>
      <c r="E142" s="215">
        <f>B142/$E$87</f>
        <v>6.9675252735078246</v>
      </c>
      <c r="F142" s="216">
        <f>$E$134/B142</f>
        <v>1.9943354037267075E-2</v>
      </c>
      <c r="G142" s="215">
        <f>B142/$G$87</f>
        <v>6.9675252735078246</v>
      </c>
      <c r="H142" s="222">
        <f>G134/B142</f>
        <v>1.9942857142857144E-2</v>
      </c>
      <c r="I142" s="223"/>
      <c r="J142" s="224">
        <f>I134/B142</f>
        <v>2.1776944099378904E-2</v>
      </c>
      <c r="K142" s="221"/>
      <c r="L142" s="130">
        <f>K134/B142</f>
        <v>2.3690769689441015E-2</v>
      </c>
      <c r="M142" s="2"/>
    </row>
    <row r="143" spans="1:14" ht="21" customHeight="1" thickBot="1" x14ac:dyDescent="0.3">
      <c r="A143" s="225" t="str">
        <f>G10</f>
        <v>Scenario 3</v>
      </c>
      <c r="B143" s="226">
        <f>G43</f>
        <v>905000</v>
      </c>
      <c r="C143" s="227">
        <f>IF($C$4="R",B143/$A$77,"")</f>
        <v>31206.896551724138</v>
      </c>
      <c r="D143" s="228">
        <f>B143/D77</f>
        <v>48.010610079575599</v>
      </c>
      <c r="E143" s="229">
        <f>B143/$E$87</f>
        <v>7.8330563633845731</v>
      </c>
      <c r="F143" s="230">
        <f>$E$134/B143</f>
        <v>1.7739668508287287E-2</v>
      </c>
      <c r="G143" s="231">
        <f>B143/$G$87</f>
        <v>7.8330563633845731</v>
      </c>
      <c r="H143" s="232">
        <f>G134/B143</f>
        <v>1.7739226519337018E-2</v>
      </c>
      <c r="I143" s="233"/>
      <c r="J143" s="234">
        <f>I134/B143</f>
        <v>1.9370651933701678E-2</v>
      </c>
      <c r="K143" s="228"/>
      <c r="L143" s="235">
        <f>K134/B143</f>
        <v>2.1073005082872947E-2</v>
      </c>
      <c r="M143" s="2"/>
    </row>
    <row r="144" spans="1:14" ht="16.5" thickBot="1" x14ac:dyDescent="0.3">
      <c r="A144" s="2"/>
      <c r="B144" s="2"/>
      <c r="C144" s="2"/>
      <c r="D144" s="2"/>
    </row>
    <row r="145" spans="1:13" ht="49.5" x14ac:dyDescent="0.3">
      <c r="A145" s="236" t="s">
        <v>108</v>
      </c>
      <c r="B145" s="237" t="s">
        <v>115</v>
      </c>
      <c r="C145" s="237" t="s">
        <v>116</v>
      </c>
      <c r="D145" s="237" t="s">
        <v>117</v>
      </c>
      <c r="E145" s="237" t="s">
        <v>118</v>
      </c>
      <c r="F145" s="237" t="s">
        <v>119</v>
      </c>
      <c r="G145" s="237" t="s">
        <v>120</v>
      </c>
      <c r="H145" s="237" t="s">
        <v>121</v>
      </c>
      <c r="I145" s="238" t="s">
        <v>122</v>
      </c>
      <c r="J145" s="239" t="s">
        <v>123</v>
      </c>
      <c r="M145" s="3"/>
    </row>
    <row r="146" spans="1:13" ht="21" customHeight="1" x14ac:dyDescent="0.3">
      <c r="A146" s="240">
        <f>B141</f>
        <v>720000</v>
      </c>
      <c r="B146" s="241">
        <f>A146-C146</f>
        <v>540000</v>
      </c>
      <c r="C146" s="241">
        <f>A146*D146</f>
        <v>180000</v>
      </c>
      <c r="D146" s="242">
        <v>0.25</v>
      </c>
      <c r="E146" s="243">
        <f>B146/D158</f>
        <v>0.75</v>
      </c>
      <c r="F146" s="244">
        <v>3.7499999999999999E-2</v>
      </c>
      <c r="G146" s="245">
        <v>25</v>
      </c>
      <c r="H146" s="246">
        <f>-PMT(F146/12,G146*12,B146)</f>
        <v>2776.3084778527186</v>
      </c>
      <c r="I146" s="246">
        <f>H146*12</f>
        <v>33315.701734232622</v>
      </c>
      <c r="J146" s="247">
        <f>G134/I146</f>
        <v>0.48187488674459344</v>
      </c>
      <c r="M146" s="3"/>
    </row>
    <row r="147" spans="1:13" ht="21" customHeight="1" x14ac:dyDescent="0.3">
      <c r="A147" s="240">
        <f>B142</f>
        <v>805000</v>
      </c>
      <c r="B147" s="241">
        <f>A147-C147</f>
        <v>603750</v>
      </c>
      <c r="C147" s="241">
        <f>A147*D147</f>
        <v>201250</v>
      </c>
      <c r="D147" s="242">
        <v>0.25</v>
      </c>
      <c r="E147" s="243">
        <f>B147/D159</f>
        <v>0.75</v>
      </c>
      <c r="F147" s="244">
        <v>3.7499999999999999E-2</v>
      </c>
      <c r="G147" s="245">
        <v>25</v>
      </c>
      <c r="H147" s="246">
        <f>-PMT(F147/12,G147*12,B147)</f>
        <v>3104.0671175992202</v>
      </c>
      <c r="I147" s="246">
        <f>H147*12</f>
        <v>37248.805411190639</v>
      </c>
      <c r="J147" s="247">
        <f>I134/I147</f>
        <v>0.47063093182401378</v>
      </c>
      <c r="M147" s="3"/>
    </row>
    <row r="148" spans="1:13" ht="21" customHeight="1" thickBot="1" x14ac:dyDescent="0.35">
      <c r="A148" s="248">
        <f>B143</f>
        <v>905000</v>
      </c>
      <c r="B148" s="249">
        <f>A148-C148</f>
        <v>678750</v>
      </c>
      <c r="C148" s="249">
        <f>A148*D148</f>
        <v>226250</v>
      </c>
      <c r="D148" s="250">
        <v>0.25</v>
      </c>
      <c r="E148" s="251">
        <f>B148/D160</f>
        <v>0.75</v>
      </c>
      <c r="F148" s="252">
        <v>3.7499999999999999E-2</v>
      </c>
      <c r="G148" s="253">
        <v>25</v>
      </c>
      <c r="H148" s="254">
        <f>-PMT(F148/12,G148*12,B148)</f>
        <v>3489.6655173009872</v>
      </c>
      <c r="I148" s="254">
        <f>H148*12</f>
        <v>41875.986207611844</v>
      </c>
      <c r="J148" s="255">
        <f>K134/I148</f>
        <v>0.4554178021133613</v>
      </c>
      <c r="M148" s="3"/>
    </row>
    <row r="149" spans="1:13" ht="21" customHeight="1" x14ac:dyDescent="0.3">
      <c r="A149" s="241"/>
      <c r="B149" s="241"/>
      <c r="C149" s="241"/>
      <c r="D149" s="256"/>
      <c r="E149" s="257"/>
      <c r="F149" s="258"/>
      <c r="G149" s="8"/>
      <c r="H149" s="246"/>
      <c r="I149" s="246"/>
      <c r="J149" s="259"/>
      <c r="M149" s="3"/>
    </row>
    <row r="150" spans="1:13" ht="21.75" thickBot="1" x14ac:dyDescent="0.4">
      <c r="A150" s="260" t="s">
        <v>124</v>
      </c>
      <c r="B150" s="6"/>
      <c r="C150" s="6"/>
      <c r="D150" s="6"/>
    </row>
    <row r="151" spans="1:13" ht="16.5" x14ac:dyDescent="0.3">
      <c r="A151" s="261" t="s">
        <v>114</v>
      </c>
      <c r="B151" s="28" t="s">
        <v>125</v>
      </c>
      <c r="C151" s="262"/>
      <c r="D151" s="263"/>
      <c r="E151" s="263"/>
      <c r="F151" s="263"/>
      <c r="G151" s="263"/>
      <c r="H151" s="1"/>
      <c r="I151" s="1"/>
      <c r="J151" s="2"/>
      <c r="K151" s="3"/>
      <c r="M151" s="2"/>
    </row>
    <row r="152" spans="1:13" ht="16.5" x14ac:dyDescent="0.3">
      <c r="A152" s="264">
        <v>0.05</v>
      </c>
      <c r="B152" s="265">
        <f>$E$134/A152</f>
        <v>321087.99999999988</v>
      </c>
      <c r="C152" s="266"/>
      <c r="D152" s="267"/>
      <c r="E152" s="268"/>
      <c r="F152" s="267"/>
      <c r="G152" s="268"/>
      <c r="H152" s="1"/>
      <c r="I152" s="1"/>
      <c r="J152" s="2"/>
      <c r="K152" s="3"/>
      <c r="M152" s="2"/>
    </row>
    <row r="153" spans="1:13" ht="16.5" x14ac:dyDescent="0.3">
      <c r="A153" s="269">
        <v>6.5000000000000002E-2</v>
      </c>
      <c r="B153" s="265">
        <f>$E$134/A153</f>
        <v>246990.76923076913</v>
      </c>
      <c r="C153" s="266"/>
      <c r="D153" s="267"/>
      <c r="E153" s="268"/>
      <c r="F153" s="267"/>
      <c r="G153" s="268"/>
      <c r="H153" s="1"/>
      <c r="I153" s="1"/>
      <c r="J153" s="2"/>
      <c r="K153" s="3"/>
      <c r="M153" s="2"/>
    </row>
    <row r="154" spans="1:13" ht="17.25" thickBot="1" x14ac:dyDescent="0.35">
      <c r="A154" s="270">
        <v>0.08</v>
      </c>
      <c r="B154" s="271">
        <f>$E$134/A154</f>
        <v>200679.99999999991</v>
      </c>
      <c r="C154" s="266"/>
      <c r="D154" s="267"/>
      <c r="E154" s="268"/>
      <c r="F154" s="267"/>
      <c r="G154" s="268"/>
      <c r="H154" s="1"/>
      <c r="I154" s="1"/>
      <c r="J154" s="2"/>
      <c r="K154" s="3"/>
      <c r="M154" s="2"/>
    </row>
    <row r="155" spans="1:13" x14ac:dyDescent="0.25">
      <c r="A155" s="6"/>
      <c r="B155" s="6"/>
      <c r="C155" s="6"/>
      <c r="D155" s="6"/>
    </row>
    <row r="156" spans="1:13" ht="21.75" thickBot="1" x14ac:dyDescent="0.4">
      <c r="A156" s="260" t="s">
        <v>126</v>
      </c>
      <c r="B156" s="6"/>
      <c r="C156" s="6"/>
      <c r="D156" s="6"/>
    </row>
    <row r="157" spans="1:13" ht="33" x14ac:dyDescent="0.3">
      <c r="A157" s="261" t="s">
        <v>127</v>
      </c>
      <c r="B157" s="261" t="s">
        <v>128</v>
      </c>
      <c r="C157" s="261" t="s">
        <v>129</v>
      </c>
      <c r="D157" s="261" t="s">
        <v>130</v>
      </c>
      <c r="E157" s="261" t="s">
        <v>131</v>
      </c>
      <c r="F157" s="261" t="s">
        <v>132</v>
      </c>
      <c r="G157" s="261" t="s">
        <v>133</v>
      </c>
      <c r="H157" s="261" t="s">
        <v>114</v>
      </c>
      <c r="I157" s="28" t="s">
        <v>125</v>
      </c>
      <c r="J157" s="2"/>
      <c r="K157" s="3"/>
      <c r="M157" s="2"/>
    </row>
    <row r="158" spans="1:13" ht="16.5" x14ac:dyDescent="0.3">
      <c r="A158" s="212" t="str">
        <f>C10</f>
        <v>Scenario 1</v>
      </c>
      <c r="B158" s="240">
        <f>C25</f>
        <v>720000</v>
      </c>
      <c r="C158" s="272">
        <f>C43-C25</f>
        <v>0</v>
      </c>
      <c r="D158" s="241">
        <f>B158+C158</f>
        <v>720000</v>
      </c>
      <c r="E158" s="273">
        <f>K136/D158</f>
        <v>-1.9784211297545283E-2</v>
      </c>
      <c r="F158" s="241">
        <f>D158-B146</f>
        <v>180000</v>
      </c>
      <c r="G158" s="273">
        <f>K136/F158</f>
        <v>-7.9136845190181132E-2</v>
      </c>
      <c r="H158" s="274">
        <v>0.06</v>
      </c>
      <c r="I158" s="134">
        <f>$K$134/H158</f>
        <v>317851.16000000032</v>
      </c>
      <c r="J158" s="2"/>
      <c r="K158" s="3"/>
      <c r="M158" s="2"/>
    </row>
    <row r="159" spans="1:13" ht="16.5" x14ac:dyDescent="0.3">
      <c r="A159" s="212" t="str">
        <f>E10</f>
        <v>Scenario 2</v>
      </c>
      <c r="B159" s="240">
        <f>E25</f>
        <v>805000</v>
      </c>
      <c r="C159" s="219">
        <f>E43-E25</f>
        <v>0</v>
      </c>
      <c r="D159" s="241">
        <f>B159+C159</f>
        <v>805000</v>
      </c>
      <c r="E159" s="275">
        <f>K137/D159</f>
        <v>-2.2581038274770957E-2</v>
      </c>
      <c r="F159" s="241">
        <f>D159-B147</f>
        <v>201250</v>
      </c>
      <c r="G159" s="275">
        <f>K137/F159</f>
        <v>-9.0324153099083829E-2</v>
      </c>
      <c r="H159" s="276">
        <v>6.5000000000000002E-2</v>
      </c>
      <c r="I159" s="134">
        <f>$K$134/H159</f>
        <v>293401.07076923101</v>
      </c>
      <c r="J159" s="2"/>
      <c r="K159" s="3"/>
      <c r="M159" s="2"/>
    </row>
    <row r="160" spans="1:13" ht="17.25" thickBot="1" x14ac:dyDescent="0.35">
      <c r="A160" s="225" t="str">
        <f>G10</f>
        <v>Scenario 3</v>
      </c>
      <c r="B160" s="248">
        <f>G25</f>
        <v>905000</v>
      </c>
      <c r="C160" s="226">
        <f>G43-G25</f>
        <v>0</v>
      </c>
      <c r="D160" s="249">
        <f>B160+C160</f>
        <v>905000</v>
      </c>
      <c r="E160" s="277">
        <f>K138/D160</f>
        <v>-2.5198802881339036E-2</v>
      </c>
      <c r="F160" s="249">
        <f>D160-B148</f>
        <v>226250</v>
      </c>
      <c r="G160" s="277">
        <f>K138/F160</f>
        <v>-0.10079521152535614</v>
      </c>
      <c r="H160" s="278">
        <v>7.0000000000000007E-2</v>
      </c>
      <c r="I160" s="279">
        <f>$K$134/H160</f>
        <v>272443.85142857162</v>
      </c>
      <c r="J160" s="2"/>
      <c r="K160" s="3"/>
      <c r="M160" s="2"/>
    </row>
    <row r="162" spans="1:6" ht="16.5" hidden="1" x14ac:dyDescent="0.3">
      <c r="A162" s="280" t="s">
        <v>134</v>
      </c>
      <c r="C162" s="281" t="str">
        <f>C46*100&amp;"%"&amp;" and "&amp;C47*100&amp;"%" &amp;" , respectively."</f>
        <v>3% and 3% , respectively.</v>
      </c>
      <c r="E162" s="6"/>
      <c r="F162" s="1"/>
    </row>
    <row r="163" spans="1:6" ht="16.5" hidden="1" x14ac:dyDescent="0.3">
      <c r="A163" s="280" t="s">
        <v>135</v>
      </c>
      <c r="C163" s="281" t="str">
        <f>C50*100&amp;"%"&amp;" and "&amp;C51*100&amp;"%" &amp;" , respectively."</f>
        <v>2% and 2% , respectively.</v>
      </c>
    </row>
    <row r="164" spans="1:6" x14ac:dyDescent="0.25">
      <c r="A164" s="282" t="s">
        <v>136</v>
      </c>
      <c r="B164" s="6"/>
      <c r="C164" s="6"/>
      <c r="D164" s="6"/>
    </row>
    <row r="165" spans="1:6" x14ac:dyDescent="0.25">
      <c r="A165" s="282" t="s">
        <v>137</v>
      </c>
      <c r="B165" s="6"/>
      <c r="C165" s="6"/>
      <c r="D165" s="6"/>
    </row>
  </sheetData>
  <mergeCells count="10">
    <mergeCell ref="E88:F88"/>
    <mergeCell ref="G88:H88"/>
    <mergeCell ref="I88:J88"/>
    <mergeCell ref="K88:L88"/>
    <mergeCell ref="A54:J54"/>
    <mergeCell ref="E80:F80"/>
    <mergeCell ref="G80:H80"/>
    <mergeCell ref="I80:J80"/>
    <mergeCell ref="K80:L80"/>
    <mergeCell ref="C84:D84"/>
  </mergeCells>
  <printOptions horizontalCentered="1"/>
  <pageMargins left="0.17" right="0.18" top="0.18" bottom="0.21" header="0.18" footer="0.16"/>
  <pageSetup paperSize="5" scale="45" fitToHeight="2" orientation="portrait" r:id="rId1"/>
  <headerFooter alignWithMargins="0">
    <oddHeader>&amp;C&amp;"Arial,Bold"&amp;14&amp;A</oddHeader>
  </headerFooter>
  <rowBreaks count="1" manualBreakCount="1">
    <brk id="5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110" zoomScaleNormal="110" workbookViewId="0">
      <selection activeCell="J34" sqref="J34"/>
    </sheetView>
  </sheetViews>
  <sheetFormatPr defaultRowHeight="15.75" x14ac:dyDescent="0.25"/>
  <cols>
    <col min="1" max="1" width="21.28515625" style="1" customWidth="1"/>
    <col min="2" max="2" width="21.7109375" style="1" bestFit="1" customWidth="1"/>
    <col min="3" max="3" width="17.28515625" style="1" customWidth="1"/>
    <col min="4" max="4" width="15.7109375" style="1" customWidth="1"/>
    <col min="5" max="5" width="17.7109375" style="2" customWidth="1"/>
    <col min="6" max="6" width="13.140625" style="2" bestFit="1" customWidth="1"/>
    <col min="7" max="7" width="17.7109375" style="2" customWidth="1"/>
    <col min="8" max="8" width="19.42578125" style="2" hidden="1" customWidth="1"/>
    <col min="9" max="9" width="11.5703125" style="2" bestFit="1" customWidth="1"/>
    <col min="10" max="10" width="17.7109375" style="2" customWidth="1"/>
    <col min="11" max="11" width="9.28515625" style="2" customWidth="1"/>
    <col min="12" max="12" width="14.140625" style="2" customWidth="1"/>
    <col min="13" max="13" width="11" style="2" bestFit="1" customWidth="1"/>
    <col min="14" max="14" width="9.140625" style="1"/>
    <col min="15" max="15" width="15" style="1" customWidth="1"/>
    <col min="16" max="16384" width="9.140625" style="1"/>
  </cols>
  <sheetData>
    <row r="1" spans="1:15" x14ac:dyDescent="0.25">
      <c r="A1" s="489"/>
      <c r="B1" s="490"/>
      <c r="C1" s="490"/>
      <c r="D1" s="491"/>
    </row>
    <row r="2" spans="1:15" x14ac:dyDescent="0.25">
      <c r="A2" s="490"/>
      <c r="B2" s="490"/>
      <c r="C2" s="490"/>
      <c r="D2" s="491"/>
    </row>
    <row r="3" spans="1:15" x14ac:dyDescent="0.25">
      <c r="A3" s="491"/>
      <c r="B3" s="491"/>
      <c r="C3" s="491"/>
      <c r="D3" s="491"/>
    </row>
    <row r="4" spans="1:15" s="25" customFormat="1" ht="18.75" x14ac:dyDescent="0.3">
      <c r="A4" s="492" t="s">
        <v>183</v>
      </c>
      <c r="B4" s="492"/>
      <c r="C4" s="492"/>
      <c r="D4" s="492"/>
      <c r="E4" s="492"/>
      <c r="F4" s="492"/>
      <c r="G4" s="492"/>
      <c r="H4" s="492"/>
      <c r="I4" s="492"/>
      <c r="J4" s="492"/>
    </row>
    <row r="5" spans="1:15" s="290" customFormat="1" ht="18.75" x14ac:dyDescent="0.3">
      <c r="A5" s="493" t="s">
        <v>184</v>
      </c>
      <c r="B5" s="493"/>
      <c r="C5" s="493"/>
      <c r="D5" s="493"/>
      <c r="E5" s="493"/>
      <c r="F5" s="493"/>
      <c r="G5" s="493"/>
      <c r="H5" s="493"/>
      <c r="I5" s="493"/>
      <c r="J5" s="493"/>
    </row>
    <row r="6" spans="1:15" s="290" customFormat="1" ht="18.75" x14ac:dyDescent="0.3">
      <c r="A6" s="493"/>
      <c r="B6" s="493"/>
      <c r="C6" s="493"/>
      <c r="D6" s="493"/>
      <c r="E6" s="493"/>
      <c r="F6" s="493"/>
      <c r="G6" s="493"/>
      <c r="H6" s="493"/>
      <c r="I6" s="493"/>
      <c r="J6" s="493"/>
    </row>
    <row r="7" spans="1:15" ht="16.5" thickBot="1" x14ac:dyDescent="0.3"/>
    <row r="8" spans="1:15" s="29" customFormat="1" ht="25.5" customHeight="1" x14ac:dyDescent="0.3">
      <c r="A8" s="291" t="s">
        <v>138</v>
      </c>
      <c r="B8" s="291" t="s">
        <v>44</v>
      </c>
      <c r="C8" s="291" t="s">
        <v>139</v>
      </c>
      <c r="D8" s="291" t="s">
        <v>140</v>
      </c>
      <c r="E8" s="291" t="s">
        <v>141</v>
      </c>
      <c r="F8" s="291" t="s">
        <v>142</v>
      </c>
      <c r="G8" s="292" t="s">
        <v>143</v>
      </c>
      <c r="H8" s="293" t="s">
        <v>144</v>
      </c>
      <c r="I8" s="291" t="s">
        <v>142</v>
      </c>
      <c r="J8" s="291" t="s">
        <v>145</v>
      </c>
      <c r="K8" s="291" t="s">
        <v>142</v>
      </c>
      <c r="L8" s="175"/>
      <c r="M8" s="175"/>
    </row>
    <row r="9" spans="1:15" s="29" customFormat="1" ht="18" customHeight="1" x14ac:dyDescent="0.3">
      <c r="A9" s="294">
        <v>29</v>
      </c>
      <c r="B9" s="294" t="s">
        <v>185</v>
      </c>
      <c r="C9" s="294">
        <v>650</v>
      </c>
      <c r="D9" s="33">
        <f>C9*A9</f>
        <v>18850</v>
      </c>
      <c r="E9" s="295">
        <v>332</v>
      </c>
      <c r="F9" s="296">
        <f>E9/C9</f>
        <v>0.51076923076923075</v>
      </c>
      <c r="G9" s="297">
        <v>450</v>
      </c>
      <c r="H9" s="298"/>
      <c r="I9" s="296">
        <f>G9/C9</f>
        <v>0.69230769230769229</v>
      </c>
      <c r="J9" s="299">
        <v>600</v>
      </c>
      <c r="K9" s="296">
        <f>J9/C9</f>
        <v>0.92307692307692313</v>
      </c>
      <c r="L9" s="175"/>
      <c r="M9" s="175"/>
    </row>
    <row r="10" spans="1:15" s="29" customFormat="1" ht="17.25" thickBot="1" x14ac:dyDescent="0.35">
      <c r="A10" s="46">
        <f>SUM(A9:A9)</f>
        <v>29</v>
      </c>
      <c r="B10" s="300"/>
      <c r="C10" s="47">
        <f>D10/A10</f>
        <v>650</v>
      </c>
      <c r="D10" s="47">
        <f>SUM(D9:D9)</f>
        <v>18850</v>
      </c>
      <c r="E10" s="301">
        <f>SUM(E9:E9)</f>
        <v>332</v>
      </c>
      <c r="F10" s="302">
        <f>E10/C10</f>
        <v>0.51076923076923075</v>
      </c>
      <c r="G10" s="301">
        <f>SUM(G9)</f>
        <v>450</v>
      </c>
      <c r="H10" s="303">
        <f>E10/C10</f>
        <v>0.51076923076923075</v>
      </c>
      <c r="I10" s="302">
        <f>G10/C10</f>
        <v>0.69230769230769229</v>
      </c>
      <c r="J10" s="301">
        <f>SUM(J9:J9)</f>
        <v>600</v>
      </c>
      <c r="K10" s="302">
        <f>J10/C10</f>
        <v>0.92307692307692313</v>
      </c>
      <c r="L10" s="175"/>
      <c r="M10" s="175"/>
    </row>
    <row r="11" spans="1:15" ht="15" customHeight="1" thickBot="1" x14ac:dyDescent="0.3">
      <c r="A11" s="22"/>
      <c r="B11" s="22"/>
      <c r="C11" s="22"/>
      <c r="D11" s="22"/>
      <c r="E11" s="17"/>
      <c r="F11" s="17"/>
      <c r="G11" s="17"/>
      <c r="H11" s="17"/>
      <c r="I11" s="17"/>
    </row>
    <row r="12" spans="1:15" s="29" customFormat="1" ht="42.75" customHeight="1" thickBot="1" x14ac:dyDescent="0.35">
      <c r="A12" s="56" t="s">
        <v>53</v>
      </c>
      <c r="B12" s="57"/>
      <c r="C12" s="58"/>
      <c r="D12" s="58"/>
      <c r="E12" s="304" t="s">
        <v>146</v>
      </c>
      <c r="F12" s="305"/>
      <c r="G12" s="306" t="s">
        <v>147</v>
      </c>
      <c r="H12" s="307" t="s">
        <v>148</v>
      </c>
      <c r="I12" s="308"/>
      <c r="J12" s="305" t="s">
        <v>149</v>
      </c>
      <c r="K12" s="59"/>
      <c r="L12" s="309"/>
      <c r="M12" s="60"/>
      <c r="N12" s="60"/>
      <c r="O12" s="60"/>
    </row>
    <row r="13" spans="1:15" ht="18.75" customHeight="1" x14ac:dyDescent="0.25">
      <c r="A13" s="69" t="s">
        <v>150</v>
      </c>
      <c r="B13" s="22"/>
      <c r="C13" s="22"/>
      <c r="D13" s="310"/>
      <c r="E13" s="311">
        <f>(E10*A10)*12</f>
        <v>115536</v>
      </c>
      <c r="F13" s="311"/>
      <c r="G13" s="311">
        <f>(G10*A10)*12</f>
        <v>156600</v>
      </c>
      <c r="H13" s="312">
        <v>0</v>
      </c>
      <c r="I13" s="313"/>
      <c r="J13" s="314">
        <f>(J10*A10)*12</f>
        <v>208800</v>
      </c>
      <c r="K13" s="315"/>
      <c r="L13" s="1"/>
      <c r="N13" s="68"/>
      <c r="O13" s="2"/>
    </row>
    <row r="14" spans="1:15" ht="18" customHeight="1" x14ac:dyDescent="0.25">
      <c r="A14" s="69" t="s">
        <v>151</v>
      </c>
      <c r="B14" s="22"/>
      <c r="C14" s="22"/>
      <c r="D14" s="310"/>
      <c r="E14" s="316">
        <f>-E13*F14</f>
        <v>0</v>
      </c>
      <c r="F14" s="317">
        <v>0</v>
      </c>
      <c r="G14" s="316">
        <f>-G13*I14</f>
        <v>-12528</v>
      </c>
      <c r="H14" s="318">
        <v>-1</v>
      </c>
      <c r="I14" s="319">
        <v>0.08</v>
      </c>
      <c r="J14" s="320">
        <f>K14*-J13</f>
        <v>-16704</v>
      </c>
      <c r="K14" s="321">
        <v>0.08</v>
      </c>
      <c r="L14" s="1"/>
      <c r="N14" s="68"/>
      <c r="O14" s="2"/>
    </row>
    <row r="15" spans="1:15" ht="17.25" customHeight="1" x14ac:dyDescent="0.25">
      <c r="A15" s="69" t="s">
        <v>152</v>
      </c>
      <c r="B15" s="22"/>
      <c r="C15" s="133"/>
      <c r="D15" s="322"/>
      <c r="E15" s="311">
        <f>SUM(E13:E14)</f>
        <v>115536</v>
      </c>
      <c r="F15" s="311"/>
      <c r="G15" s="323">
        <f>SUM(G13:G14)</f>
        <v>144072</v>
      </c>
      <c r="H15" s="324">
        <f>SUM(H13:H14)</f>
        <v>-1</v>
      </c>
      <c r="I15" s="325"/>
      <c r="J15" s="326">
        <f>SUM(J13:J14)</f>
        <v>192096</v>
      </c>
      <c r="K15" s="315"/>
      <c r="L15" s="1"/>
      <c r="N15" s="2"/>
      <c r="O15" s="2"/>
    </row>
    <row r="16" spans="1:15" s="93" customFormat="1" ht="19.5" customHeight="1" x14ac:dyDescent="0.2">
      <c r="A16" s="94" t="s">
        <v>64</v>
      </c>
      <c r="B16" s="100"/>
      <c r="C16" s="101"/>
      <c r="D16" s="327"/>
      <c r="E16" s="328">
        <v>0</v>
      </c>
      <c r="F16" s="328"/>
      <c r="G16" s="328">
        <v>0</v>
      </c>
      <c r="H16" s="329"/>
      <c r="I16" s="330"/>
      <c r="J16" s="331">
        <v>0</v>
      </c>
      <c r="K16" s="332"/>
      <c r="M16" s="92"/>
      <c r="N16" s="91"/>
      <c r="O16" s="92"/>
    </row>
    <row r="17" spans="1:15" s="118" customFormat="1" ht="16.5" x14ac:dyDescent="0.3">
      <c r="A17" s="109" t="s">
        <v>153</v>
      </c>
      <c r="B17" s="110"/>
      <c r="C17" s="111"/>
      <c r="D17" s="333"/>
      <c r="E17" s="334">
        <f>SUM(E15:E16)</f>
        <v>115536</v>
      </c>
      <c r="F17" s="334"/>
      <c r="G17" s="335">
        <f>SUM(G15:G16)</f>
        <v>144072</v>
      </c>
      <c r="H17" s="336">
        <f>SUM(H15:H15)</f>
        <v>-1</v>
      </c>
      <c r="I17" s="337"/>
      <c r="J17" s="19">
        <f>SUM(J15:J16)</f>
        <v>192096</v>
      </c>
      <c r="K17" s="338"/>
      <c r="M17" s="117"/>
      <c r="N17" s="117"/>
      <c r="O17" s="117"/>
    </row>
    <row r="18" spans="1:15" x14ac:dyDescent="0.25">
      <c r="A18" s="69"/>
      <c r="B18" s="22"/>
      <c r="C18" s="133"/>
      <c r="D18" s="310"/>
      <c r="E18" s="339"/>
      <c r="F18" s="339"/>
      <c r="G18" s="323"/>
      <c r="H18" s="324"/>
      <c r="I18" s="325"/>
      <c r="J18" s="325"/>
      <c r="K18" s="315"/>
      <c r="L18" s="1"/>
      <c r="N18" s="2"/>
      <c r="O18" s="2"/>
    </row>
    <row r="19" spans="1:15" ht="16.5" x14ac:dyDescent="0.3">
      <c r="A19" s="204" t="s">
        <v>66</v>
      </c>
      <c r="B19" s="340"/>
      <c r="C19" s="341" t="s">
        <v>154</v>
      </c>
      <c r="D19" s="342"/>
      <c r="E19" s="342"/>
      <c r="F19" s="342"/>
      <c r="G19" s="342"/>
      <c r="H19" s="324"/>
      <c r="I19" s="325"/>
      <c r="J19" s="343"/>
      <c r="K19" s="315"/>
      <c r="L19" s="22"/>
      <c r="N19" s="2"/>
      <c r="O19" s="2"/>
    </row>
    <row r="20" spans="1:15" ht="20.25" customHeight="1" x14ac:dyDescent="0.25">
      <c r="A20" s="69" t="s">
        <v>155</v>
      </c>
      <c r="B20" s="22"/>
      <c r="C20" s="344">
        <f>E20/60</f>
        <v>78.983333333333334</v>
      </c>
      <c r="D20" s="314"/>
      <c r="E20" s="345">
        <v>4739</v>
      </c>
      <c r="F20" s="462">
        <f>E20/$E$17</f>
        <v>4.1017518349259104E-2</v>
      </c>
      <c r="G20" s="346">
        <v>4739</v>
      </c>
      <c r="H20" s="347">
        <v>0</v>
      </c>
      <c r="I20" s="463">
        <f>G20/$G$17</f>
        <v>3.2893275584430004E-2</v>
      </c>
      <c r="J20" s="348">
        <v>4739</v>
      </c>
      <c r="K20" s="466">
        <f>J20/$J$17</f>
        <v>2.4669956688322506E-2</v>
      </c>
      <c r="L20" s="349"/>
      <c r="N20" s="2"/>
      <c r="O20" s="2"/>
    </row>
    <row r="21" spans="1:15" ht="20.25" customHeight="1" x14ac:dyDescent="0.25">
      <c r="A21" s="69" t="s">
        <v>156</v>
      </c>
      <c r="B21" s="133"/>
      <c r="C21" s="344">
        <f t="shared" ref="C21:C29" si="0">E21/60</f>
        <v>166.66666666666666</v>
      </c>
      <c r="D21" s="314"/>
      <c r="E21" s="350">
        <v>10000</v>
      </c>
      <c r="F21" s="462">
        <f t="shared" ref="F21:F22" si="1">E21/$E$17</f>
        <v>8.6553108987674834E-2</v>
      </c>
      <c r="G21" s="346">
        <v>10000</v>
      </c>
      <c r="H21" s="347">
        <v>0</v>
      </c>
      <c r="I21" s="463">
        <f t="shared" ref="I21:I22" si="2">G21/$G$17</f>
        <v>6.9409739574657112E-2</v>
      </c>
      <c r="J21" s="348">
        <v>10000</v>
      </c>
      <c r="K21" s="466">
        <f t="shared" ref="K21:K22" si="3">J21/$J$17</f>
        <v>5.2057304680992837E-2</v>
      </c>
      <c r="L21" s="349"/>
      <c r="N21" s="2"/>
      <c r="O21" s="2"/>
    </row>
    <row r="22" spans="1:15" ht="20.25" customHeight="1" x14ac:dyDescent="0.25">
      <c r="A22" s="69" t="s">
        <v>157</v>
      </c>
      <c r="B22" s="22"/>
      <c r="C22" s="344">
        <f t="shared" si="0"/>
        <v>55.983333333333334</v>
      </c>
      <c r="D22" s="314"/>
      <c r="E22" s="350">
        <v>3359</v>
      </c>
      <c r="F22" s="462">
        <f t="shared" si="1"/>
        <v>2.9073189308959978E-2</v>
      </c>
      <c r="G22" s="346">
        <v>3359</v>
      </c>
      <c r="H22" s="347">
        <v>0</v>
      </c>
      <c r="I22" s="463">
        <f t="shared" si="2"/>
        <v>2.3314731523127324E-2</v>
      </c>
      <c r="J22" s="348">
        <v>3359</v>
      </c>
      <c r="K22" s="466">
        <f t="shared" si="3"/>
        <v>1.7486048642345493E-2</v>
      </c>
      <c r="L22" s="349"/>
      <c r="N22" s="2"/>
      <c r="O22" s="2"/>
    </row>
    <row r="23" spans="1:15" ht="20.25" customHeight="1" x14ac:dyDescent="0.25">
      <c r="A23" s="69" t="s">
        <v>85</v>
      </c>
      <c r="B23" s="22"/>
      <c r="C23" s="344">
        <f t="shared" si="0"/>
        <v>154.04800000000003</v>
      </c>
      <c r="D23" s="314"/>
      <c r="E23" s="351">
        <f>E17*F23</f>
        <v>9242.880000000001</v>
      </c>
      <c r="F23" s="464">
        <v>0.08</v>
      </c>
      <c r="G23" s="351">
        <f>G17*I23</f>
        <v>7203.6</v>
      </c>
      <c r="H23" s="352">
        <v>0</v>
      </c>
      <c r="I23" s="465">
        <v>0.05</v>
      </c>
      <c r="J23" s="351">
        <f>J17*K23</f>
        <v>9604.8000000000011</v>
      </c>
      <c r="K23" s="467">
        <v>0.05</v>
      </c>
      <c r="L23" s="349"/>
      <c r="N23" s="2"/>
      <c r="O23" s="2"/>
    </row>
    <row r="24" spans="1:15" ht="20.25" customHeight="1" x14ac:dyDescent="0.25">
      <c r="A24" s="69" t="s">
        <v>24</v>
      </c>
      <c r="B24" s="22"/>
      <c r="C24" s="344">
        <f t="shared" si="0"/>
        <v>484.8</v>
      </c>
      <c r="D24" s="314"/>
      <c r="E24" s="353">
        <v>29088</v>
      </c>
      <c r="F24" s="461">
        <f>E24/$E$17</f>
        <v>0.25176568342334854</v>
      </c>
      <c r="G24" s="346">
        <v>29088</v>
      </c>
      <c r="H24" s="347">
        <v>0</v>
      </c>
      <c r="I24" s="463">
        <f>G24/$G$17</f>
        <v>0.20189905047476261</v>
      </c>
      <c r="J24" s="348">
        <v>29088</v>
      </c>
      <c r="K24" s="466">
        <f>J24/$J$17</f>
        <v>0.15142428785607195</v>
      </c>
      <c r="L24" s="349"/>
      <c r="N24" s="2"/>
      <c r="O24" s="2"/>
    </row>
    <row r="25" spans="1:15" ht="20.25" customHeight="1" x14ac:dyDescent="0.25">
      <c r="A25" s="69" t="s">
        <v>158</v>
      </c>
      <c r="B25" s="124"/>
      <c r="C25" s="344">
        <f t="shared" si="0"/>
        <v>25</v>
      </c>
      <c r="D25" s="314"/>
      <c r="E25" s="345">
        <v>1500</v>
      </c>
      <c r="F25" s="461">
        <f t="shared" ref="F25:F30" si="4">E25/$E$17</f>
        <v>1.2982966348151225E-2</v>
      </c>
      <c r="G25" s="346">
        <v>1500</v>
      </c>
      <c r="H25" s="347">
        <v>0</v>
      </c>
      <c r="I25" s="463">
        <f t="shared" ref="I25:I30" si="5">G25/$G$17</f>
        <v>1.0411460936198567E-2</v>
      </c>
      <c r="J25" s="348">
        <v>1900</v>
      </c>
      <c r="K25" s="466">
        <f t="shared" ref="K25:K30" si="6">J25/$J$17</f>
        <v>9.8908878893886384E-3</v>
      </c>
      <c r="L25" s="349"/>
      <c r="N25" s="2"/>
      <c r="O25" s="2"/>
    </row>
    <row r="26" spans="1:15" ht="20.25" customHeight="1" x14ac:dyDescent="0.25">
      <c r="A26" s="69" t="s">
        <v>93</v>
      </c>
      <c r="B26" s="124"/>
      <c r="C26" s="344">
        <f t="shared" si="0"/>
        <v>41.666666666666664</v>
      </c>
      <c r="D26" s="314"/>
      <c r="E26" s="345">
        <v>2500</v>
      </c>
      <c r="F26" s="461">
        <f t="shared" si="4"/>
        <v>2.1638277246918709E-2</v>
      </c>
      <c r="G26" s="346">
        <v>2500</v>
      </c>
      <c r="H26" s="347">
        <v>0</v>
      </c>
      <c r="I26" s="463">
        <f t="shared" si="5"/>
        <v>1.7352434893664278E-2</v>
      </c>
      <c r="J26" s="348">
        <v>7500</v>
      </c>
      <c r="K26" s="466">
        <f t="shared" si="6"/>
        <v>3.9042978510744626E-2</v>
      </c>
      <c r="L26" s="349"/>
      <c r="N26" s="2"/>
      <c r="O26" s="2"/>
    </row>
    <row r="27" spans="1:15" ht="20.25" customHeight="1" x14ac:dyDescent="0.25">
      <c r="A27" s="69" t="s">
        <v>78</v>
      </c>
      <c r="B27" s="144"/>
      <c r="C27" s="344">
        <f t="shared" si="0"/>
        <v>29.166666666666668</v>
      </c>
      <c r="D27" s="314"/>
      <c r="E27" s="345">
        <v>1750</v>
      </c>
      <c r="F27" s="461">
        <f t="shared" si="4"/>
        <v>1.5146794072843096E-2</v>
      </c>
      <c r="G27" s="346">
        <v>5520</v>
      </c>
      <c r="H27" s="347">
        <v>0</v>
      </c>
      <c r="I27" s="463">
        <f t="shared" si="5"/>
        <v>3.8314176245210725E-2</v>
      </c>
      <c r="J27" s="348">
        <v>5520</v>
      </c>
      <c r="K27" s="466">
        <f t="shared" si="6"/>
        <v>2.8735632183908046E-2</v>
      </c>
      <c r="L27" s="349"/>
      <c r="N27" s="2"/>
      <c r="O27" s="2"/>
    </row>
    <row r="28" spans="1:15" ht="20.25" customHeight="1" x14ac:dyDescent="0.25">
      <c r="A28" s="69" t="s">
        <v>159</v>
      </c>
      <c r="B28" s="354"/>
      <c r="C28" s="344">
        <f t="shared" si="0"/>
        <v>291.66666666666669</v>
      </c>
      <c r="D28" s="22"/>
      <c r="E28" s="353">
        <v>17500</v>
      </c>
      <c r="F28" s="461">
        <f t="shared" si="4"/>
        <v>0.15146794072843098</v>
      </c>
      <c r="G28" s="346">
        <v>26017</v>
      </c>
      <c r="H28" s="355">
        <v>0</v>
      </c>
      <c r="I28" s="463">
        <f t="shared" si="5"/>
        <v>0.18058331945138542</v>
      </c>
      <c r="J28" s="348">
        <v>26017</v>
      </c>
      <c r="K28" s="466">
        <f t="shared" si="6"/>
        <v>0.13543748958853907</v>
      </c>
      <c r="L28" s="349"/>
      <c r="N28" s="2"/>
      <c r="O28" s="2"/>
    </row>
    <row r="29" spans="1:15" ht="20.25" customHeight="1" x14ac:dyDescent="0.25">
      <c r="A29" s="69" t="s">
        <v>160</v>
      </c>
      <c r="B29" s="354"/>
      <c r="C29" s="344">
        <f t="shared" si="0"/>
        <v>62.966666666666669</v>
      </c>
      <c r="D29" s="22"/>
      <c r="E29" s="353">
        <v>3778</v>
      </c>
      <c r="F29" s="461">
        <f t="shared" si="4"/>
        <v>3.2699764575543556E-2</v>
      </c>
      <c r="G29" s="346">
        <v>3778</v>
      </c>
      <c r="H29" s="355"/>
      <c r="I29" s="463">
        <f t="shared" si="5"/>
        <v>2.6222999611305458E-2</v>
      </c>
      <c r="J29" s="348">
        <v>3778</v>
      </c>
      <c r="K29" s="466">
        <f t="shared" si="6"/>
        <v>1.9667249708479093E-2</v>
      </c>
      <c r="L29" s="349"/>
      <c r="N29" s="2"/>
      <c r="O29" s="2"/>
    </row>
    <row r="30" spans="1:15" ht="20.25" customHeight="1" x14ac:dyDescent="0.25">
      <c r="A30" s="69" t="s">
        <v>103</v>
      </c>
      <c r="B30" s="354"/>
      <c r="C30" s="356">
        <v>150</v>
      </c>
      <c r="D30" s="22"/>
      <c r="E30" s="311">
        <f>C30*A10</f>
        <v>4350</v>
      </c>
      <c r="F30" s="461">
        <f t="shared" si="4"/>
        <v>3.7650602409638557E-2</v>
      </c>
      <c r="G30" s="311">
        <f>C30*A10</f>
        <v>4350</v>
      </c>
      <c r="H30" s="318"/>
      <c r="I30" s="463">
        <f t="shared" si="5"/>
        <v>3.0193236714975844E-2</v>
      </c>
      <c r="J30" s="219">
        <f>C30*A10</f>
        <v>4350</v>
      </c>
      <c r="K30" s="466">
        <f t="shared" si="6"/>
        <v>2.2644927536231884E-2</v>
      </c>
      <c r="L30" s="349"/>
      <c r="N30" s="2"/>
      <c r="O30" s="2"/>
    </row>
    <row r="31" spans="1:15" x14ac:dyDescent="0.25">
      <c r="A31" s="69"/>
      <c r="B31" s="146"/>
      <c r="C31" s="22"/>
      <c r="D31" s="314"/>
      <c r="E31" s="339"/>
      <c r="F31" s="339"/>
      <c r="G31" s="323"/>
      <c r="H31" s="324"/>
      <c r="I31" s="325"/>
      <c r="J31" s="325"/>
      <c r="K31" s="315"/>
      <c r="L31" s="349"/>
      <c r="N31" s="2"/>
      <c r="O31" s="2"/>
    </row>
    <row r="32" spans="1:15" ht="16.5" x14ac:dyDescent="0.3">
      <c r="A32" s="61" t="s">
        <v>104</v>
      </c>
      <c r="B32" s="357"/>
      <c r="C32" s="133"/>
      <c r="D32" s="358"/>
      <c r="E32" s="359">
        <f>SUM(E20:E31)</f>
        <v>87806.88</v>
      </c>
      <c r="F32" s="360">
        <f>E32/E17</f>
        <v>0.75999584545076859</v>
      </c>
      <c r="G32" s="361">
        <f>SUM(G20:G31)</f>
        <v>98054.6</v>
      </c>
      <c r="H32" s="362">
        <f>SUM(H20:H31)</f>
        <v>0</v>
      </c>
      <c r="I32" s="363">
        <f>G32/G17</f>
        <v>0.68059442500971745</v>
      </c>
      <c r="J32" s="364">
        <f>SUM(J20:J31)</f>
        <v>105855.8</v>
      </c>
      <c r="K32" s="365">
        <f>J32/J17</f>
        <v>0.55105676328502418</v>
      </c>
      <c r="L32" s="349"/>
      <c r="M32" s="349"/>
      <c r="N32" s="366"/>
      <c r="O32" s="2"/>
    </row>
    <row r="33" spans="1:15" ht="6" customHeight="1" x14ac:dyDescent="0.25">
      <c r="A33" s="69"/>
      <c r="B33" s="367"/>
      <c r="C33" s="133"/>
      <c r="D33" s="368"/>
      <c r="E33" s="311"/>
      <c r="F33" s="311"/>
      <c r="G33" s="323"/>
      <c r="H33" s="324"/>
      <c r="I33" s="325"/>
      <c r="J33" s="325"/>
      <c r="K33" s="315"/>
      <c r="L33" s="349"/>
      <c r="M33" s="349"/>
      <c r="N33" s="366"/>
      <c r="O33" s="2"/>
    </row>
    <row r="34" spans="1:15" x14ac:dyDescent="0.25">
      <c r="A34" s="69"/>
      <c r="B34" s="367"/>
      <c r="C34" s="133"/>
      <c r="D34" s="145" t="s">
        <v>161</v>
      </c>
      <c r="E34" s="311">
        <f>E32/A10</f>
        <v>3027.8234482758621</v>
      </c>
      <c r="F34" s="311"/>
      <c r="G34" s="323">
        <f>G32/A10</f>
        <v>3381.1931034482759</v>
      </c>
      <c r="H34" s="324">
        <f>H32/A10</f>
        <v>0</v>
      </c>
      <c r="I34" s="325"/>
      <c r="J34" s="325">
        <f>J32/A10</f>
        <v>3650.2000000000003</v>
      </c>
      <c r="K34" s="315"/>
      <c r="L34" s="349"/>
      <c r="M34" s="349"/>
      <c r="N34" s="366"/>
      <c r="O34" s="2"/>
    </row>
    <row r="35" spans="1:15" x14ac:dyDescent="0.25">
      <c r="A35" s="69"/>
      <c r="B35" s="22"/>
      <c r="C35" s="133"/>
      <c r="D35" s="369" t="s">
        <v>162</v>
      </c>
      <c r="E35" s="370">
        <f>E32/D10</f>
        <v>4.6581899204244035</v>
      </c>
      <c r="F35" s="370"/>
      <c r="G35" s="223">
        <f>G32/D10</f>
        <v>5.2018355437665784</v>
      </c>
      <c r="H35" s="371">
        <f>H32/D10</f>
        <v>0</v>
      </c>
      <c r="I35" s="372"/>
      <c r="J35" s="372">
        <f>J32/D10</f>
        <v>5.6156923076923082</v>
      </c>
      <c r="K35" s="315"/>
      <c r="L35" s="349"/>
      <c r="M35" s="349"/>
      <c r="N35" s="366"/>
      <c r="O35" s="2"/>
    </row>
    <row r="36" spans="1:15" x14ac:dyDescent="0.25">
      <c r="A36" s="69"/>
      <c r="B36" s="22"/>
      <c r="C36" s="22"/>
      <c r="D36" s="310"/>
      <c r="E36" s="339"/>
      <c r="F36" s="339"/>
      <c r="G36" s="373"/>
      <c r="H36" s="324"/>
      <c r="I36" s="325"/>
      <c r="J36" s="325"/>
      <c r="K36" s="315"/>
      <c r="L36" s="1"/>
      <c r="M36" s="349"/>
      <c r="N36" s="366"/>
      <c r="O36" s="2"/>
    </row>
    <row r="37" spans="1:15" s="29" customFormat="1" ht="17.25" thickBot="1" x14ac:dyDescent="0.35">
      <c r="A37" s="167" t="s">
        <v>163</v>
      </c>
      <c r="B37" s="168"/>
      <c r="C37" s="168"/>
      <c r="D37" s="374"/>
      <c r="E37" s="375">
        <f>E17-E32</f>
        <v>27729.119999999995</v>
      </c>
      <c r="F37" s="375"/>
      <c r="G37" s="376">
        <f>G17-G32</f>
        <v>46017.399999999994</v>
      </c>
      <c r="H37" s="377">
        <f>H17-H32</f>
        <v>-1</v>
      </c>
      <c r="I37" s="376"/>
      <c r="J37" s="376">
        <f>J17-J32</f>
        <v>86240.2</v>
      </c>
      <c r="K37" s="378"/>
      <c r="L37" s="118"/>
      <c r="M37" s="379"/>
      <c r="N37" s="380"/>
      <c r="O37" s="175"/>
    </row>
    <row r="38" spans="1:15" s="4" customFormat="1" ht="19.5" customHeight="1" thickTop="1" x14ac:dyDescent="0.3">
      <c r="A38" s="381" t="s">
        <v>164</v>
      </c>
      <c r="B38" s="382"/>
      <c r="C38" s="383">
        <f>B46</f>
        <v>641461</v>
      </c>
      <c r="D38" s="384"/>
      <c r="E38" s="385">
        <f>-F51*12</f>
        <v>-29681.56020853138</v>
      </c>
      <c r="F38" s="386"/>
      <c r="G38" s="387">
        <f>E38</f>
        <v>-29681.56020853138</v>
      </c>
      <c r="H38" s="388">
        <f>E38</f>
        <v>-29681.56020853138</v>
      </c>
      <c r="I38" s="389"/>
      <c r="J38" s="389">
        <f>E38</f>
        <v>-29681.56020853138</v>
      </c>
      <c r="K38" s="63"/>
      <c r="L38" s="1"/>
      <c r="M38" s="366"/>
      <c r="N38" s="366"/>
      <c r="O38" s="11"/>
    </row>
    <row r="39" spans="1:15" s="4" customFormat="1" ht="19.5" customHeight="1" x14ac:dyDescent="0.3">
      <c r="A39" s="181" t="s">
        <v>165</v>
      </c>
      <c r="B39" s="182"/>
      <c r="C39" s="182"/>
      <c r="D39" s="390"/>
      <c r="E39" s="391">
        <f>SUM(E37:E38)</f>
        <v>-1952.440208531385</v>
      </c>
      <c r="F39" s="391"/>
      <c r="G39" s="392">
        <f>G37+G38</f>
        <v>16335.839791468614</v>
      </c>
      <c r="H39" s="393">
        <f>H37+H38</f>
        <v>-29682.56020853138</v>
      </c>
      <c r="I39" s="394"/>
      <c r="J39" s="394">
        <f>J37+J38</f>
        <v>56558.639791468617</v>
      </c>
      <c r="K39" s="63"/>
      <c r="L39" s="1"/>
      <c r="M39" s="349"/>
      <c r="N39" s="366"/>
      <c r="O39" s="11"/>
    </row>
    <row r="40" spans="1:15" s="4" customFormat="1" ht="19.5" customHeight="1" x14ac:dyDescent="0.3">
      <c r="A40" s="181" t="s">
        <v>166</v>
      </c>
      <c r="B40" s="182"/>
      <c r="C40" s="182"/>
      <c r="D40" s="390"/>
      <c r="E40" s="395">
        <f>E39/B51</f>
        <v>-1.2174958156654168E-2</v>
      </c>
      <c r="F40" s="395"/>
      <c r="G40" s="396">
        <f>G39/B51</f>
        <v>0.10186645667604804</v>
      </c>
      <c r="H40" s="397">
        <f>H39/B51</f>
        <v>-0.18509346762176582</v>
      </c>
      <c r="I40" s="398"/>
      <c r="J40" s="398">
        <f>J39/B51</f>
        <v>0.35268638181569023</v>
      </c>
      <c r="K40" s="63"/>
      <c r="L40" s="1"/>
      <c r="M40" s="349"/>
      <c r="N40" s="366"/>
      <c r="O40" s="11"/>
    </row>
    <row r="41" spans="1:15" s="4" customFormat="1" ht="19.5" customHeight="1" x14ac:dyDescent="0.3">
      <c r="A41" s="400" t="s">
        <v>167</v>
      </c>
      <c r="B41" s="401"/>
      <c r="C41" s="401"/>
      <c r="D41" s="402"/>
      <c r="E41" s="403"/>
      <c r="F41" s="403"/>
      <c r="G41" s="404"/>
      <c r="H41" s="405"/>
      <c r="I41" s="406"/>
      <c r="J41" s="407"/>
      <c r="K41" s="63"/>
      <c r="L41" s="1"/>
      <c r="M41" s="349"/>
      <c r="N41" s="366"/>
      <c r="O41" s="11"/>
    </row>
    <row r="42" spans="1:15" s="4" customFormat="1" ht="19.5" customHeight="1" x14ac:dyDescent="0.3">
      <c r="A42" s="408" t="s">
        <v>168</v>
      </c>
      <c r="B42" s="409"/>
      <c r="C42" s="409"/>
      <c r="D42" s="410"/>
      <c r="E42" s="411">
        <f>SUM(E39,E41)</f>
        <v>-1952.440208531385</v>
      </c>
      <c r="F42" s="411"/>
      <c r="G42" s="411">
        <f>SUM(G39,G41)</f>
        <v>16335.839791468614</v>
      </c>
      <c r="H42" s="412"/>
      <c r="I42" s="407"/>
      <c r="J42" s="407">
        <f>SUM(J39,J41)</f>
        <v>56558.639791468617</v>
      </c>
      <c r="K42" s="63"/>
      <c r="L42" s="1"/>
      <c r="M42" s="349"/>
      <c r="N42" s="366"/>
      <c r="O42" s="11"/>
    </row>
    <row r="43" spans="1:15" s="4" customFormat="1" ht="19.5" customHeight="1" thickBot="1" x14ac:dyDescent="0.35">
      <c r="A43" s="413" t="s">
        <v>169</v>
      </c>
      <c r="B43" s="414"/>
      <c r="C43" s="414"/>
      <c r="D43" s="415"/>
      <c r="E43" s="416">
        <f>E42/B51</f>
        <v>-1.2174958156654168E-2</v>
      </c>
      <c r="F43" s="416"/>
      <c r="G43" s="416">
        <f>G42/B51</f>
        <v>0.10186645667604804</v>
      </c>
      <c r="H43" s="417"/>
      <c r="I43" s="418"/>
      <c r="J43" s="418">
        <f>J42/B51</f>
        <v>0.35268638181569023</v>
      </c>
      <c r="K43" s="399"/>
      <c r="L43" s="1"/>
      <c r="M43" s="349"/>
      <c r="N43" s="366"/>
      <c r="O43" s="11"/>
    </row>
    <row r="44" spans="1:15" ht="17.25" thickBot="1" x14ac:dyDescent="0.35">
      <c r="A44" s="477"/>
      <c r="B44" s="478"/>
      <c r="C44" s="478"/>
      <c r="D44" s="478"/>
      <c r="E44" s="479"/>
      <c r="F44" s="479"/>
      <c r="G44" s="479"/>
      <c r="H44" s="480"/>
      <c r="I44" s="480"/>
      <c r="J44" s="480"/>
      <c r="K44" s="481"/>
      <c r="N44" s="2"/>
      <c r="O44" s="419"/>
    </row>
    <row r="45" spans="1:15" ht="24.75" customHeight="1" x14ac:dyDescent="0.3">
      <c r="A45" s="61" t="s">
        <v>111</v>
      </c>
      <c r="B45" s="343" t="s">
        <v>170</v>
      </c>
      <c r="C45" s="342" t="s">
        <v>171</v>
      </c>
      <c r="D45" s="342" t="s">
        <v>172</v>
      </c>
      <c r="E45" s="475" t="s">
        <v>114</v>
      </c>
      <c r="F45" s="475" t="s">
        <v>113</v>
      </c>
      <c r="G45" s="343" t="s">
        <v>114</v>
      </c>
      <c r="H45" s="476" t="s">
        <v>114</v>
      </c>
      <c r="I45" s="343" t="s">
        <v>113</v>
      </c>
      <c r="J45" s="343" t="s">
        <v>114</v>
      </c>
      <c r="K45" s="474" t="s">
        <v>113</v>
      </c>
      <c r="N45" s="2"/>
      <c r="O45" s="420"/>
    </row>
    <row r="46" spans="1:15" s="118" customFormat="1" ht="21" customHeight="1" thickBot="1" x14ac:dyDescent="0.35">
      <c r="A46" s="421" t="s">
        <v>173</v>
      </c>
      <c r="B46" s="422">
        <v>641461</v>
      </c>
      <c r="C46" s="423">
        <f>B46/A10</f>
        <v>22119.344827586207</v>
      </c>
      <c r="D46" s="424">
        <f>B46/D10</f>
        <v>34.029761273209552</v>
      </c>
      <c r="E46" s="425">
        <f>E37/B46</f>
        <v>4.3228068425048435E-2</v>
      </c>
      <c r="F46" s="468">
        <f>B46/E17</f>
        <v>5.5520443844342893</v>
      </c>
      <c r="G46" s="426">
        <f>G37/B46</f>
        <v>7.1738422133223997E-2</v>
      </c>
      <c r="H46" s="427">
        <f>H37/B46</f>
        <v>-1.55894122947459E-6</v>
      </c>
      <c r="I46" s="471">
        <f>B46/G17</f>
        <v>4.4523640957299131</v>
      </c>
      <c r="J46" s="426">
        <f>J37/B46</f>
        <v>0.13444340341813454</v>
      </c>
      <c r="K46" s="482">
        <f>B46/J17</f>
        <v>3.3392730717974346</v>
      </c>
      <c r="L46" s="117"/>
      <c r="M46" s="117"/>
      <c r="N46" s="117"/>
      <c r="O46" s="428"/>
    </row>
    <row r="47" spans="1:15" ht="21" customHeight="1" x14ac:dyDescent="0.25">
      <c r="A47" s="429" t="s">
        <v>174</v>
      </c>
      <c r="B47" s="430">
        <v>641461</v>
      </c>
      <c r="C47" s="220">
        <f>B47/A10</f>
        <v>22119.344827586207</v>
      </c>
      <c r="D47" s="221">
        <f>B47/D10</f>
        <v>34.029761273209552</v>
      </c>
      <c r="E47" s="431">
        <f>E37/B47</f>
        <v>4.3228068425048435E-2</v>
      </c>
      <c r="F47" s="469">
        <f>B47/E17</f>
        <v>5.5520443844342893</v>
      </c>
      <c r="G47" s="224">
        <f>G37/B47</f>
        <v>7.1738422133223997E-2</v>
      </c>
      <c r="H47" s="432">
        <f>H37/B47</f>
        <v>-1.55894122947459E-6</v>
      </c>
      <c r="I47" s="472">
        <f>B47/G17</f>
        <v>4.4523640957299131</v>
      </c>
      <c r="J47" s="433">
        <f>J37/B47</f>
        <v>0.13444340341813454</v>
      </c>
      <c r="K47" s="450">
        <f>B47/J17</f>
        <v>3.3392730717974346</v>
      </c>
      <c r="N47" s="2"/>
    </row>
    <row r="48" spans="1:15" ht="21" customHeight="1" thickBot="1" x14ac:dyDescent="0.3">
      <c r="A48" s="434" t="s">
        <v>175</v>
      </c>
      <c r="B48" s="435">
        <v>595900</v>
      </c>
      <c r="C48" s="227">
        <f>B48/A10</f>
        <v>20548.275862068964</v>
      </c>
      <c r="D48" s="228">
        <f>B48/D10</f>
        <v>31.612732095490717</v>
      </c>
      <c r="E48" s="436">
        <f>E37/B48</f>
        <v>4.6533176707501248E-2</v>
      </c>
      <c r="F48" s="470">
        <f>B48/E17</f>
        <v>5.1576997645755434</v>
      </c>
      <c r="G48" s="234">
        <f>G37/B48</f>
        <v>7.7223359624097987E-2</v>
      </c>
      <c r="H48" s="437">
        <f>H37/B48</f>
        <v>-1.6781339150864238E-6</v>
      </c>
      <c r="I48" s="473">
        <f>B48/G17</f>
        <v>4.1361263812538178</v>
      </c>
      <c r="J48" s="438">
        <f>J37/B48</f>
        <v>0.1447226044638362</v>
      </c>
      <c r="K48" s="458">
        <f>B48/J17</f>
        <v>3.1020947859403631</v>
      </c>
      <c r="N48" s="2"/>
    </row>
    <row r="49" spans="1:15" ht="16.5" thickBot="1" x14ac:dyDescent="0.3">
      <c r="A49" s="2"/>
      <c r="B49" s="2"/>
      <c r="C49" s="2"/>
      <c r="D49" s="2"/>
      <c r="I49" s="2" t="s">
        <v>176</v>
      </c>
    </row>
    <row r="50" spans="1:15" ht="82.5" x14ac:dyDescent="0.3">
      <c r="A50" s="439" t="s">
        <v>177</v>
      </c>
      <c r="B50" s="440" t="s">
        <v>116</v>
      </c>
      <c r="C50" s="441" t="s">
        <v>178</v>
      </c>
      <c r="D50" s="440" t="s">
        <v>119</v>
      </c>
      <c r="E50" s="440" t="s">
        <v>120</v>
      </c>
      <c r="F50" s="442" t="s">
        <v>179</v>
      </c>
      <c r="G50" s="442" t="s">
        <v>180</v>
      </c>
      <c r="H50" s="443" t="s">
        <v>181</v>
      </c>
      <c r="I50" s="443" t="s">
        <v>182</v>
      </c>
      <c r="M50" s="1"/>
    </row>
    <row r="51" spans="1:15" ht="21" customHeight="1" x14ac:dyDescent="0.25">
      <c r="A51" s="444">
        <f>B46-B51</f>
        <v>481095.75</v>
      </c>
      <c r="B51" s="241">
        <f>C51*B46</f>
        <v>160365.25</v>
      </c>
      <c r="C51" s="445">
        <v>0.25</v>
      </c>
      <c r="D51" s="446">
        <v>3.7499999999999999E-2</v>
      </c>
      <c r="E51" s="447">
        <v>25</v>
      </c>
      <c r="F51" s="448">
        <f>-PMT(D51/12,E51*12,A51)</f>
        <v>2473.4633507109484</v>
      </c>
      <c r="G51" s="246">
        <f>F51*12</f>
        <v>29681.56020853138</v>
      </c>
      <c r="H51" s="449">
        <f>E37/G51</f>
        <v>0.93422043198489968</v>
      </c>
      <c r="I51" s="450">
        <f>G37/G51</f>
        <v>1.5503699831376518</v>
      </c>
      <c r="M51" s="1"/>
    </row>
    <row r="52" spans="1:15" ht="21" customHeight="1" x14ac:dyDescent="0.25">
      <c r="A52" s="444">
        <f>B47-B52</f>
        <v>481095.75</v>
      </c>
      <c r="B52" s="241">
        <f>B47*C52</f>
        <v>160365.25</v>
      </c>
      <c r="C52" s="445">
        <v>0.25</v>
      </c>
      <c r="D52" s="446">
        <v>3.7499999999999999E-2</v>
      </c>
      <c r="E52" s="447">
        <v>25</v>
      </c>
      <c r="F52" s="448">
        <f>-PMT(D52/12,E52*12,A52)</f>
        <v>2473.4633507109484</v>
      </c>
      <c r="G52" s="246">
        <f>F52*12</f>
        <v>29681.56020853138</v>
      </c>
      <c r="H52" s="451"/>
      <c r="I52" s="450">
        <f>G37/G52</f>
        <v>1.5503699831376518</v>
      </c>
      <c r="M52" s="1"/>
    </row>
    <row r="53" spans="1:15" ht="21" customHeight="1" thickBot="1" x14ac:dyDescent="0.3">
      <c r="A53" s="452">
        <f>B48-B53</f>
        <v>446925</v>
      </c>
      <c r="B53" s="249">
        <f>B48*C53</f>
        <v>148975</v>
      </c>
      <c r="C53" s="453">
        <v>0.25</v>
      </c>
      <c r="D53" s="454">
        <v>3.7499999999999999E-2</v>
      </c>
      <c r="E53" s="455">
        <v>25</v>
      </c>
      <c r="F53" s="456">
        <f>-PMT(D53/12,E53*12,A53)</f>
        <v>2297.7808638228266</v>
      </c>
      <c r="G53" s="254">
        <f>F53*12</f>
        <v>27573.370365873918</v>
      </c>
      <c r="H53" s="457"/>
      <c r="I53" s="458">
        <f>G37/G53</f>
        <v>1.6689073330314841</v>
      </c>
      <c r="M53" s="1"/>
    </row>
    <row r="54" spans="1:15" ht="21" customHeight="1" x14ac:dyDescent="0.25">
      <c r="A54" s="459"/>
      <c r="B54" s="241"/>
      <c r="C54" s="446"/>
      <c r="D54" s="447"/>
      <c r="E54" s="448"/>
      <c r="F54" s="246"/>
      <c r="G54" s="146"/>
      <c r="L54" s="1"/>
      <c r="M54" s="1"/>
    </row>
    <row r="55" spans="1:15" x14ac:dyDescent="0.25">
      <c r="A55" s="6" t="s">
        <v>136</v>
      </c>
      <c r="B55" s="6"/>
      <c r="C55" s="6"/>
      <c r="D55" s="6"/>
    </row>
    <row r="56" spans="1:15" x14ac:dyDescent="0.25">
      <c r="A56" s="6" t="s">
        <v>137</v>
      </c>
      <c r="B56" s="6"/>
      <c r="C56" s="6"/>
      <c r="D56" s="6"/>
    </row>
    <row r="57" spans="1:15" ht="21" x14ac:dyDescent="0.35">
      <c r="A57" s="460"/>
      <c r="B57" s="6"/>
      <c r="C57" s="6"/>
      <c r="D57" s="6"/>
    </row>
    <row r="58" spans="1:15" s="2" customFormat="1" x14ac:dyDescent="0.25">
      <c r="A58" s="6"/>
      <c r="B58" s="6"/>
      <c r="C58" s="6"/>
      <c r="D58" s="6"/>
      <c r="N58" s="1"/>
      <c r="O58" s="1"/>
    </row>
  </sheetData>
  <mergeCells count="4">
    <mergeCell ref="A1:D3"/>
    <mergeCell ref="A4:J4"/>
    <mergeCell ref="A5:J5"/>
    <mergeCell ref="A6:J6"/>
  </mergeCells>
  <printOptions horizontalCentered="1"/>
  <pageMargins left="0.5" right="0.5" top="0.75" bottom="0.75" header="0.5" footer="0.5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65"/>
  <sheetViews>
    <sheetView showGridLines="0" topLeftCell="A99" zoomScale="80" zoomScaleNormal="80" workbookViewId="0">
      <selection activeCell="L142" sqref="L142"/>
    </sheetView>
  </sheetViews>
  <sheetFormatPr defaultRowHeight="15.75" outlineLevelRow="1" x14ac:dyDescent="0.25"/>
  <cols>
    <col min="1" max="1" width="21.28515625" style="1" customWidth="1"/>
    <col min="2" max="2" width="22.42578125" style="1" bestFit="1" customWidth="1"/>
    <col min="3" max="3" width="17.28515625" style="1" customWidth="1"/>
    <col min="4" max="4" width="18.7109375" style="1" customWidth="1"/>
    <col min="5" max="5" width="17.7109375" style="2" customWidth="1"/>
    <col min="6" max="6" width="16.140625" style="2" customWidth="1"/>
    <col min="7" max="7" width="17.7109375" style="2" customWidth="1"/>
    <col min="8" max="8" width="16.140625" style="2" customWidth="1"/>
    <col min="9" max="9" width="17.7109375" style="2" customWidth="1"/>
    <col min="10" max="10" width="16.140625" style="3" customWidth="1"/>
    <col min="11" max="11" width="17.42578125" style="2" customWidth="1"/>
    <col min="12" max="12" width="16.42578125" style="2" bestFit="1" customWidth="1"/>
    <col min="13" max="14" width="9.140625" style="1"/>
    <col min="15" max="15" width="11.5703125" style="1" customWidth="1"/>
    <col min="16" max="17" width="9.140625" style="1"/>
    <col min="18" max="18" width="11.85546875" style="1" customWidth="1"/>
    <col min="19" max="19" width="9.28515625" style="1" customWidth="1"/>
    <col min="20" max="16384" width="9.140625" style="1"/>
  </cols>
  <sheetData>
    <row r="1" spans="1:9" x14ac:dyDescent="0.25">
      <c r="E1" s="1"/>
    </row>
    <row r="2" spans="1:9" ht="16.5" x14ac:dyDescent="0.3">
      <c r="A2" s="4" t="s">
        <v>0</v>
      </c>
      <c r="B2" s="4"/>
      <c r="E2" s="1"/>
    </row>
    <row r="3" spans="1:9" ht="16.5" x14ac:dyDescent="0.3">
      <c r="A3" s="4"/>
      <c r="B3" s="4"/>
      <c r="E3" s="1"/>
    </row>
    <row r="4" spans="1:9" ht="16.5" x14ac:dyDescent="0.3">
      <c r="A4" s="5" t="s">
        <v>1</v>
      </c>
      <c r="B4" s="6"/>
      <c r="C4" s="7" t="s">
        <v>2</v>
      </c>
      <c r="E4" s="1"/>
    </row>
    <row r="5" spans="1:9" ht="16.5" x14ac:dyDescent="0.3">
      <c r="A5" s="5" t="s">
        <v>3</v>
      </c>
      <c r="B5" s="6"/>
      <c r="C5" s="7" t="s">
        <v>2</v>
      </c>
      <c r="E5" s="1"/>
    </row>
    <row r="6" spans="1:9" ht="16.5" x14ac:dyDescent="0.3">
      <c r="A6" s="5"/>
      <c r="B6" s="6"/>
      <c r="C6" s="8"/>
      <c r="E6" s="1"/>
    </row>
    <row r="7" spans="1:9" ht="16.5" x14ac:dyDescent="0.3">
      <c r="A7" s="5" t="s">
        <v>4</v>
      </c>
      <c r="B7" s="6"/>
      <c r="C7" s="9">
        <v>32234</v>
      </c>
      <c r="E7" s="1"/>
    </row>
    <row r="8" spans="1:9" ht="16.5" x14ac:dyDescent="0.3">
      <c r="A8" s="5" t="s">
        <v>5</v>
      </c>
      <c r="B8" s="6"/>
      <c r="C8" s="9">
        <v>15389</v>
      </c>
      <c r="E8" s="1"/>
    </row>
    <row r="9" spans="1:9" ht="16.5" x14ac:dyDescent="0.3">
      <c r="A9" s="5"/>
      <c r="B9" s="6"/>
      <c r="C9" s="10"/>
      <c r="E9" s="1"/>
    </row>
    <row r="10" spans="1:9" ht="16.5" x14ac:dyDescent="0.3">
      <c r="A10" s="5" t="s">
        <v>6</v>
      </c>
      <c r="B10" s="6"/>
      <c r="C10" s="11" t="s">
        <v>7</v>
      </c>
      <c r="E10" s="11" t="s">
        <v>8</v>
      </c>
      <c r="G10" s="11" t="s">
        <v>9</v>
      </c>
    </row>
    <row r="11" spans="1:9" ht="16.5" x14ac:dyDescent="0.3">
      <c r="A11" s="5"/>
      <c r="B11" s="6" t="s">
        <v>10</v>
      </c>
      <c r="C11" s="12">
        <v>950000</v>
      </c>
      <c r="D11" s="13">
        <f>C11/$C$7</f>
        <v>29.471986101631817</v>
      </c>
      <c r="E11" s="12">
        <v>800000</v>
      </c>
      <c r="F11" s="13">
        <f>E11/$C$7</f>
        <v>24.818514611900479</v>
      </c>
      <c r="G11" s="12">
        <v>750000</v>
      </c>
      <c r="H11" s="13">
        <f>G11/$C$7</f>
        <v>23.267357448656696</v>
      </c>
    </row>
    <row r="12" spans="1:9" ht="16.5" x14ac:dyDescent="0.3">
      <c r="A12" s="5"/>
      <c r="B12" s="6" t="s">
        <v>11</v>
      </c>
      <c r="C12" s="12">
        <v>0</v>
      </c>
      <c r="D12" s="13">
        <f>C12/$C$8</f>
        <v>0</v>
      </c>
      <c r="E12" s="12">
        <v>0</v>
      </c>
      <c r="F12" s="13">
        <f>E12/$C$8</f>
        <v>0</v>
      </c>
      <c r="G12" s="12">
        <v>0</v>
      </c>
      <c r="H12" s="13">
        <f>G12/$C$8</f>
        <v>0</v>
      </c>
    </row>
    <row r="13" spans="1:9" ht="16.5" x14ac:dyDescent="0.3">
      <c r="A13" s="5"/>
      <c r="B13" s="6"/>
      <c r="C13" s="14">
        <f>SUM(C11:C12)</f>
        <v>950000</v>
      </c>
      <c r="D13" s="15"/>
      <c r="E13" s="14">
        <f>SUM(E11:E12)</f>
        <v>800000</v>
      </c>
      <c r="F13" s="15"/>
      <c r="G13" s="14">
        <f>SUM(G11:G12)</f>
        <v>750000</v>
      </c>
      <c r="H13" s="16"/>
      <c r="I13" s="17"/>
    </row>
    <row r="14" spans="1:9" ht="16.5" x14ac:dyDescent="0.3">
      <c r="A14" s="5"/>
      <c r="B14" s="6"/>
      <c r="C14" s="11"/>
      <c r="E14" s="11"/>
      <c r="G14" s="11"/>
    </row>
    <row r="15" spans="1:9" ht="16.5" x14ac:dyDescent="0.3">
      <c r="A15" s="5" t="s">
        <v>12</v>
      </c>
      <c r="B15" s="6"/>
      <c r="C15" s="11" t="s">
        <v>7</v>
      </c>
      <c r="E15" s="11" t="s">
        <v>8</v>
      </c>
      <c r="G15" s="11" t="s">
        <v>9</v>
      </c>
    </row>
    <row r="16" spans="1:9" ht="16.5" x14ac:dyDescent="0.3">
      <c r="A16" s="5"/>
      <c r="B16" s="6" t="s">
        <v>13</v>
      </c>
      <c r="C16" s="12">
        <v>200</v>
      </c>
      <c r="E16" s="12">
        <f>C16</f>
        <v>200</v>
      </c>
      <c r="G16" s="12">
        <f>C16</f>
        <v>200</v>
      </c>
    </row>
    <row r="17" spans="1:8" ht="16.5" x14ac:dyDescent="0.3">
      <c r="A17" s="5"/>
      <c r="B17" s="6" t="s">
        <v>14</v>
      </c>
      <c r="C17" s="12">
        <v>2500</v>
      </c>
      <c r="E17" s="12">
        <f t="shared" ref="E17:E22" si="0">C17</f>
        <v>2500</v>
      </c>
      <c r="G17" s="12">
        <f t="shared" ref="G17:G22" si="1">C17</f>
        <v>2500</v>
      </c>
    </row>
    <row r="18" spans="1:8" ht="16.5" x14ac:dyDescent="0.3">
      <c r="A18" s="5"/>
      <c r="B18" s="6" t="s">
        <v>15</v>
      </c>
      <c r="C18" s="12">
        <v>1100</v>
      </c>
      <c r="E18" s="12">
        <f t="shared" si="0"/>
        <v>1100</v>
      </c>
      <c r="G18" s="12">
        <f t="shared" si="1"/>
        <v>1100</v>
      </c>
    </row>
    <row r="19" spans="1:8" ht="16.5" x14ac:dyDescent="0.3">
      <c r="A19" s="5"/>
      <c r="B19" s="6" t="s">
        <v>16</v>
      </c>
      <c r="C19" s="12">
        <v>0</v>
      </c>
      <c r="E19" s="12">
        <f t="shared" si="0"/>
        <v>0</v>
      </c>
      <c r="G19" s="12">
        <f t="shared" si="1"/>
        <v>0</v>
      </c>
    </row>
    <row r="20" spans="1:8" ht="16.5" x14ac:dyDescent="0.3">
      <c r="A20" s="5"/>
      <c r="B20" s="6" t="s">
        <v>17</v>
      </c>
      <c r="C20" s="12">
        <v>2100</v>
      </c>
      <c r="E20" s="12">
        <f t="shared" si="0"/>
        <v>2100</v>
      </c>
      <c r="G20" s="12">
        <f t="shared" si="1"/>
        <v>2100</v>
      </c>
    </row>
    <row r="21" spans="1:8" ht="16.5" x14ac:dyDescent="0.3">
      <c r="A21" s="5"/>
      <c r="B21" s="6" t="s">
        <v>18</v>
      </c>
      <c r="C21" s="12">
        <v>0</v>
      </c>
      <c r="E21" s="12">
        <f t="shared" si="0"/>
        <v>0</v>
      </c>
      <c r="G21" s="12">
        <f t="shared" si="1"/>
        <v>0</v>
      </c>
    </row>
    <row r="22" spans="1:8" ht="16.5" x14ac:dyDescent="0.3">
      <c r="A22" s="5"/>
      <c r="B22" s="6" t="s">
        <v>19</v>
      </c>
      <c r="C22" s="12">
        <v>100</v>
      </c>
      <c r="E22" s="12">
        <f t="shared" si="0"/>
        <v>100</v>
      </c>
      <c r="G22" s="12">
        <f t="shared" si="1"/>
        <v>100</v>
      </c>
    </row>
    <row r="23" spans="1:8" ht="16.5" x14ac:dyDescent="0.3">
      <c r="A23" s="5"/>
      <c r="B23" s="6"/>
      <c r="C23" s="18">
        <f>SUM(C16:C22)</f>
        <v>6000</v>
      </c>
      <c r="E23" s="18">
        <f>SUM(E16:E22)</f>
        <v>6000</v>
      </c>
      <c r="G23" s="18">
        <f>SUM(G16:G22)</f>
        <v>6000</v>
      </c>
    </row>
    <row r="24" spans="1:8" ht="16.5" x14ac:dyDescent="0.3">
      <c r="A24" s="5"/>
      <c r="B24" s="6"/>
      <c r="C24" s="11"/>
      <c r="E24" s="11"/>
      <c r="G24" s="11"/>
    </row>
    <row r="25" spans="1:8" ht="16.5" x14ac:dyDescent="0.3">
      <c r="A25" s="5" t="s">
        <v>20</v>
      </c>
      <c r="B25" s="6"/>
      <c r="C25" s="19">
        <f>C13+C23</f>
        <v>956000</v>
      </c>
      <c r="E25" s="19">
        <f>E13+E23</f>
        <v>806000</v>
      </c>
      <c r="G25" s="19">
        <f>G13+G23</f>
        <v>756000</v>
      </c>
    </row>
    <row r="26" spans="1:8" ht="16.5" x14ac:dyDescent="0.3">
      <c r="A26" s="5"/>
      <c r="B26" s="6"/>
      <c r="C26" s="10"/>
      <c r="E26" s="1"/>
    </row>
    <row r="27" spans="1:8" ht="16.5" x14ac:dyDescent="0.3">
      <c r="A27" s="4" t="s">
        <v>21</v>
      </c>
      <c r="C27" s="11" t="s">
        <v>7</v>
      </c>
      <c r="D27" s="11" t="s">
        <v>22</v>
      </c>
      <c r="E27" s="11" t="s">
        <v>8</v>
      </c>
      <c r="F27" s="11" t="s">
        <v>22</v>
      </c>
      <c r="G27" s="11" t="s">
        <v>9</v>
      </c>
      <c r="H27" s="11" t="s">
        <v>22</v>
      </c>
    </row>
    <row r="28" spans="1:8" ht="16.5" x14ac:dyDescent="0.3">
      <c r="A28" s="4"/>
      <c r="B28" s="1" t="s">
        <v>23</v>
      </c>
      <c r="C28" s="12">
        <v>75000</v>
      </c>
      <c r="D28" s="13">
        <f t="shared" ref="D28:D43" si="2">C28/$C$8</f>
        <v>4.8736110208590553</v>
      </c>
      <c r="E28" s="12">
        <f>C28</f>
        <v>75000</v>
      </c>
      <c r="F28" s="13">
        <f t="shared" ref="F28:F43" si="3">E28/$C$8</f>
        <v>4.8736110208590553</v>
      </c>
      <c r="G28" s="12">
        <f>C28</f>
        <v>75000</v>
      </c>
      <c r="H28" s="13">
        <f t="shared" ref="H28:H43" si="4">G28/$C$8</f>
        <v>4.8736110208590553</v>
      </c>
    </row>
    <row r="29" spans="1:8" ht="16.5" x14ac:dyDescent="0.3">
      <c r="A29" s="4"/>
      <c r="B29" s="1" t="s">
        <v>24</v>
      </c>
      <c r="C29" s="12">
        <v>35000</v>
      </c>
      <c r="D29" s="13">
        <f t="shared" si="2"/>
        <v>2.2743518097342257</v>
      </c>
      <c r="E29" s="12">
        <f t="shared" ref="E29:E42" si="5">C29</f>
        <v>35000</v>
      </c>
      <c r="F29" s="13">
        <f t="shared" si="3"/>
        <v>2.2743518097342257</v>
      </c>
      <c r="G29" s="12">
        <f t="shared" ref="G29:G42" si="6">C29</f>
        <v>35000</v>
      </c>
      <c r="H29" s="13">
        <f t="shared" si="4"/>
        <v>2.2743518097342257</v>
      </c>
    </row>
    <row r="30" spans="1:8" ht="16.5" x14ac:dyDescent="0.3">
      <c r="A30" s="4"/>
      <c r="B30" s="1" t="s">
        <v>25</v>
      </c>
      <c r="C30" s="12">
        <v>15000</v>
      </c>
      <c r="D30" s="13">
        <f t="shared" si="2"/>
        <v>0.97472220417181099</v>
      </c>
      <c r="E30" s="12">
        <f t="shared" si="5"/>
        <v>15000</v>
      </c>
      <c r="F30" s="13">
        <f t="shared" si="3"/>
        <v>0.97472220417181099</v>
      </c>
      <c r="G30" s="12">
        <f t="shared" si="6"/>
        <v>15000</v>
      </c>
      <c r="H30" s="13">
        <f t="shared" si="4"/>
        <v>0.97472220417181099</v>
      </c>
    </row>
    <row r="31" spans="1:8" ht="16.5" x14ac:dyDescent="0.3">
      <c r="A31" s="4"/>
      <c r="B31" s="1" t="s">
        <v>26</v>
      </c>
      <c r="C31" s="12">
        <v>0</v>
      </c>
      <c r="D31" s="13">
        <f t="shared" si="2"/>
        <v>0</v>
      </c>
      <c r="E31" s="12">
        <f t="shared" si="5"/>
        <v>0</v>
      </c>
      <c r="F31" s="13">
        <f t="shared" si="3"/>
        <v>0</v>
      </c>
      <c r="G31" s="12">
        <f t="shared" si="6"/>
        <v>0</v>
      </c>
      <c r="H31" s="13">
        <f t="shared" si="4"/>
        <v>0</v>
      </c>
    </row>
    <row r="32" spans="1:8" ht="16.5" x14ac:dyDescent="0.3">
      <c r="A32" s="4"/>
      <c r="B32" s="1" t="s">
        <v>27</v>
      </c>
      <c r="C32" s="12">
        <v>65000</v>
      </c>
      <c r="D32" s="13">
        <f t="shared" si="2"/>
        <v>4.2237962180778474</v>
      </c>
      <c r="E32" s="12">
        <f t="shared" si="5"/>
        <v>65000</v>
      </c>
      <c r="F32" s="13">
        <f t="shared" si="3"/>
        <v>4.2237962180778474</v>
      </c>
      <c r="G32" s="12">
        <f t="shared" si="6"/>
        <v>65000</v>
      </c>
      <c r="H32" s="13">
        <f t="shared" si="4"/>
        <v>4.2237962180778474</v>
      </c>
    </row>
    <row r="33" spans="1:8" ht="16.5" x14ac:dyDescent="0.3">
      <c r="A33" s="4"/>
      <c r="B33" s="1" t="s">
        <v>18</v>
      </c>
      <c r="C33" s="12">
        <v>25000</v>
      </c>
      <c r="D33" s="13">
        <f t="shared" si="2"/>
        <v>1.6245370069530183</v>
      </c>
      <c r="E33" s="12">
        <f t="shared" si="5"/>
        <v>25000</v>
      </c>
      <c r="F33" s="13">
        <f t="shared" si="3"/>
        <v>1.6245370069530183</v>
      </c>
      <c r="G33" s="12">
        <f t="shared" si="6"/>
        <v>25000</v>
      </c>
      <c r="H33" s="13">
        <f t="shared" si="4"/>
        <v>1.6245370069530183</v>
      </c>
    </row>
    <row r="34" spans="1:8" ht="16.5" x14ac:dyDescent="0.3">
      <c r="A34" s="4"/>
      <c r="B34" s="1" t="s">
        <v>28</v>
      </c>
      <c r="C34" s="12">
        <v>1350</v>
      </c>
      <c r="D34" s="13">
        <f t="shared" si="2"/>
        <v>8.7724998375462993E-2</v>
      </c>
      <c r="E34" s="12">
        <f t="shared" si="5"/>
        <v>1350</v>
      </c>
      <c r="F34" s="13">
        <f t="shared" si="3"/>
        <v>8.7724998375462993E-2</v>
      </c>
      <c r="G34" s="12">
        <f t="shared" si="6"/>
        <v>1350</v>
      </c>
      <c r="H34" s="13">
        <f t="shared" si="4"/>
        <v>8.7724998375462993E-2</v>
      </c>
    </row>
    <row r="35" spans="1:8" ht="16.5" x14ac:dyDescent="0.3">
      <c r="A35" s="4"/>
      <c r="B35" s="1" t="s">
        <v>29</v>
      </c>
      <c r="C35" s="12">
        <v>1250</v>
      </c>
      <c r="D35" s="13">
        <f t="shared" si="2"/>
        <v>8.1226850347650925E-2</v>
      </c>
      <c r="E35" s="12">
        <f t="shared" si="5"/>
        <v>1250</v>
      </c>
      <c r="F35" s="13">
        <f t="shared" si="3"/>
        <v>8.1226850347650925E-2</v>
      </c>
      <c r="G35" s="12">
        <f t="shared" si="6"/>
        <v>1250</v>
      </c>
      <c r="H35" s="13">
        <f t="shared" si="4"/>
        <v>8.1226850347650925E-2</v>
      </c>
    </row>
    <row r="36" spans="1:8" ht="16.5" x14ac:dyDescent="0.3">
      <c r="A36" s="4"/>
      <c r="B36" s="1" t="s">
        <v>30</v>
      </c>
      <c r="C36" s="12">
        <v>1000</v>
      </c>
      <c r="D36" s="13">
        <f t="shared" si="2"/>
        <v>6.4981480278120729E-2</v>
      </c>
      <c r="E36" s="12">
        <f t="shared" si="5"/>
        <v>1000</v>
      </c>
      <c r="F36" s="13">
        <f t="shared" si="3"/>
        <v>6.4981480278120729E-2</v>
      </c>
      <c r="G36" s="12">
        <f t="shared" si="6"/>
        <v>1000</v>
      </c>
      <c r="H36" s="13">
        <f t="shared" si="4"/>
        <v>6.4981480278120729E-2</v>
      </c>
    </row>
    <row r="37" spans="1:8" ht="16.5" x14ac:dyDescent="0.3">
      <c r="A37" s="4"/>
      <c r="B37" s="1" t="s">
        <v>31</v>
      </c>
      <c r="C37" s="12">
        <v>1500000</v>
      </c>
      <c r="D37" s="13">
        <f t="shared" si="2"/>
        <v>97.472220417181106</v>
      </c>
      <c r="E37" s="12">
        <f t="shared" si="5"/>
        <v>1500000</v>
      </c>
      <c r="F37" s="13">
        <f t="shared" si="3"/>
        <v>97.472220417181106</v>
      </c>
      <c r="G37" s="12">
        <f t="shared" si="6"/>
        <v>1500000</v>
      </c>
      <c r="H37" s="13">
        <f t="shared" si="4"/>
        <v>97.472220417181106</v>
      </c>
    </row>
    <row r="38" spans="1:8" ht="16.5" x14ac:dyDescent="0.3">
      <c r="A38" s="4"/>
      <c r="B38" s="1" t="s">
        <v>32</v>
      </c>
      <c r="C38" s="12">
        <v>80000</v>
      </c>
      <c r="D38" s="13">
        <f t="shared" si="2"/>
        <v>5.1985184222496592</v>
      </c>
      <c r="E38" s="12">
        <f t="shared" si="5"/>
        <v>80000</v>
      </c>
      <c r="F38" s="13">
        <f t="shared" si="3"/>
        <v>5.1985184222496592</v>
      </c>
      <c r="G38" s="12">
        <f t="shared" si="6"/>
        <v>80000</v>
      </c>
      <c r="H38" s="13">
        <f t="shared" si="4"/>
        <v>5.1985184222496592</v>
      </c>
    </row>
    <row r="39" spans="1:8" ht="16.5" x14ac:dyDescent="0.3">
      <c r="A39" s="4"/>
      <c r="B39" s="1" t="s">
        <v>33</v>
      </c>
      <c r="C39" s="12">
        <v>40000</v>
      </c>
      <c r="D39" s="13">
        <f t="shared" si="2"/>
        <v>2.5992592111248296</v>
      </c>
      <c r="E39" s="12">
        <f t="shared" si="5"/>
        <v>40000</v>
      </c>
      <c r="F39" s="13">
        <f t="shared" si="3"/>
        <v>2.5992592111248296</v>
      </c>
      <c r="G39" s="12">
        <f t="shared" si="6"/>
        <v>40000</v>
      </c>
      <c r="H39" s="13">
        <f t="shared" si="4"/>
        <v>2.5992592111248296</v>
      </c>
    </row>
    <row r="40" spans="1:8" ht="16.5" x14ac:dyDescent="0.3">
      <c r="A40" s="4"/>
      <c r="B40" s="1" t="s">
        <v>34</v>
      </c>
      <c r="C40" s="12">
        <v>1000</v>
      </c>
      <c r="D40" s="13">
        <f t="shared" si="2"/>
        <v>6.4981480278120729E-2</v>
      </c>
      <c r="E40" s="12">
        <f t="shared" si="5"/>
        <v>1000</v>
      </c>
      <c r="F40" s="13">
        <f t="shared" si="3"/>
        <v>6.4981480278120729E-2</v>
      </c>
      <c r="G40" s="12">
        <f t="shared" si="6"/>
        <v>1000</v>
      </c>
      <c r="H40" s="13">
        <f t="shared" si="4"/>
        <v>6.4981480278120729E-2</v>
      </c>
    </row>
    <row r="41" spans="1:8" ht="16.5" x14ac:dyDescent="0.3">
      <c r="A41" s="4"/>
      <c r="B41" s="1" t="s">
        <v>35</v>
      </c>
      <c r="C41" s="12">
        <v>9500</v>
      </c>
      <c r="D41" s="13">
        <f t="shared" si="2"/>
        <v>0.61732406264214701</v>
      </c>
      <c r="E41" s="12">
        <f t="shared" si="5"/>
        <v>9500</v>
      </c>
      <c r="F41" s="13">
        <f t="shared" si="3"/>
        <v>0.61732406264214701</v>
      </c>
      <c r="G41" s="12">
        <f t="shared" si="6"/>
        <v>9500</v>
      </c>
      <c r="H41" s="13">
        <f t="shared" si="4"/>
        <v>0.61732406264214701</v>
      </c>
    </row>
    <row r="42" spans="1:8" ht="16.5" x14ac:dyDescent="0.3">
      <c r="A42" s="4"/>
      <c r="B42" s="1" t="s">
        <v>36</v>
      </c>
      <c r="C42" s="12">
        <v>150000</v>
      </c>
      <c r="D42" s="13">
        <f t="shared" si="2"/>
        <v>9.7472220417181106</v>
      </c>
      <c r="E42" s="12">
        <f t="shared" si="5"/>
        <v>150000</v>
      </c>
      <c r="F42" s="13">
        <f t="shared" si="3"/>
        <v>9.7472220417181106</v>
      </c>
      <c r="G42" s="12">
        <f t="shared" si="6"/>
        <v>150000</v>
      </c>
      <c r="H42" s="13">
        <f t="shared" si="4"/>
        <v>9.7472220417181106</v>
      </c>
    </row>
    <row r="43" spans="1:8" ht="16.5" x14ac:dyDescent="0.3">
      <c r="A43" s="4"/>
      <c r="B43" s="13" t="s">
        <v>37</v>
      </c>
      <c r="C43" s="18">
        <f>C25+SUM(C28:C42)</f>
        <v>2955100</v>
      </c>
      <c r="D43" s="13">
        <f t="shared" si="2"/>
        <v>192.02677236987458</v>
      </c>
      <c r="E43" s="18">
        <f>E25+SUM(E28:E42)</f>
        <v>2805100</v>
      </c>
      <c r="F43" s="13">
        <f t="shared" si="3"/>
        <v>182.27955032815649</v>
      </c>
      <c r="G43" s="18">
        <f>G25+SUM(G28:G42)</f>
        <v>2755100</v>
      </c>
      <c r="H43" s="13">
        <f t="shared" si="4"/>
        <v>179.03047631425045</v>
      </c>
    </row>
    <row r="44" spans="1:8" ht="16.5" x14ac:dyDescent="0.3">
      <c r="C44" s="20"/>
      <c r="D44" s="21"/>
      <c r="E44" s="1"/>
    </row>
    <row r="45" spans="1:8" ht="16.5" x14ac:dyDescent="0.3">
      <c r="A45" s="4" t="s">
        <v>38</v>
      </c>
    </row>
    <row r="46" spans="1:8" ht="16.5" x14ac:dyDescent="0.3">
      <c r="B46" s="22" t="s">
        <v>39</v>
      </c>
      <c r="C46" s="23">
        <v>0.03</v>
      </c>
      <c r="D46" s="22"/>
    </row>
    <row r="47" spans="1:8" ht="16.5" x14ac:dyDescent="0.3">
      <c r="B47" s="22" t="s">
        <v>40</v>
      </c>
      <c r="C47" s="23">
        <v>0.03</v>
      </c>
      <c r="D47" s="22"/>
    </row>
    <row r="48" spans="1:8" x14ac:dyDescent="0.25">
      <c r="B48" s="22"/>
      <c r="C48" s="22"/>
      <c r="D48" s="22"/>
    </row>
    <row r="49" spans="1:13" ht="16.5" x14ac:dyDescent="0.3">
      <c r="A49" s="4" t="s">
        <v>41</v>
      </c>
      <c r="B49" s="22"/>
      <c r="C49" s="22"/>
      <c r="D49" s="22"/>
    </row>
    <row r="50" spans="1:13" ht="16.5" x14ac:dyDescent="0.3">
      <c r="B50" s="22" t="s">
        <v>39</v>
      </c>
      <c r="C50" s="23">
        <v>0.02</v>
      </c>
      <c r="D50" s="22"/>
    </row>
    <row r="51" spans="1:13" ht="16.5" x14ac:dyDescent="0.3">
      <c r="B51" s="22" t="s">
        <v>42</v>
      </c>
      <c r="C51" s="23">
        <v>0.02</v>
      </c>
      <c r="D51" s="22"/>
    </row>
    <row r="53" spans="1:13" x14ac:dyDescent="0.25">
      <c r="K53" s="1"/>
      <c r="L53" s="24"/>
    </row>
    <row r="54" spans="1:13" s="25" customFormat="1" ht="18.75" x14ac:dyDescent="0.3">
      <c r="A54" s="485" t="s">
        <v>43</v>
      </c>
      <c r="B54" s="485"/>
      <c r="C54" s="485"/>
      <c r="D54" s="485"/>
      <c r="E54" s="485"/>
      <c r="F54" s="485"/>
      <c r="G54" s="485"/>
      <c r="H54" s="485"/>
      <c r="I54" s="485"/>
      <c r="J54" s="486"/>
      <c r="L54" s="1"/>
    </row>
    <row r="55" spans="1:13" ht="16.5" thickBot="1" x14ac:dyDescent="0.3">
      <c r="M55" s="26"/>
    </row>
    <row r="56" spans="1:13" s="29" customFormat="1" ht="50.25" customHeight="1" x14ac:dyDescent="0.3">
      <c r="A56" s="27" t="str">
        <f>IF(C4="R","Units","Suite")</f>
        <v>Units</v>
      </c>
      <c r="B56" s="27" t="s">
        <v>44</v>
      </c>
      <c r="C56" s="27" t="str">
        <f>IF(C4="R","Unit SF","Net Lease SF")</f>
        <v>Unit SF</v>
      </c>
      <c r="D56" s="27" t="s">
        <v>45</v>
      </c>
      <c r="E56" s="28" t="s">
        <v>46</v>
      </c>
      <c r="F56" s="27" t="str">
        <f>IF($C$4="R","Monthly PSF","Annual PSF")</f>
        <v>Monthly PSF</v>
      </c>
      <c r="G56" s="28" t="s">
        <v>47</v>
      </c>
      <c r="H56" s="27" t="str">
        <f>IF($C$4="R","Monthly PSF","Annual PSF")</f>
        <v>Monthly PSF</v>
      </c>
      <c r="I56" s="28" t="s">
        <v>48</v>
      </c>
      <c r="J56" s="27" t="str">
        <f>IF($C$4="R","Monthly PSF","Annual PSF")</f>
        <v>Monthly PSF</v>
      </c>
      <c r="K56" s="28" t="s">
        <v>49</v>
      </c>
      <c r="L56" s="27" t="str">
        <f>IF($C$4="R","Monthly PSF","Annual PSF")</f>
        <v>Monthly PSF</v>
      </c>
    </row>
    <row r="57" spans="1:13" ht="18.75" customHeight="1" x14ac:dyDescent="0.3">
      <c r="A57" s="30">
        <v>16</v>
      </c>
      <c r="B57" s="31" t="s">
        <v>50</v>
      </c>
      <c r="C57" s="32">
        <v>650</v>
      </c>
      <c r="D57" s="33">
        <f t="shared" ref="D57:D76" si="7">IF($C$4="R",C57*A57,C57)</f>
        <v>10400</v>
      </c>
      <c r="E57" s="34">
        <v>950</v>
      </c>
      <c r="F57" s="35">
        <f>IF($C$5="R",E57/$C57,E57)</f>
        <v>1.4615384615384615</v>
      </c>
      <c r="G57" s="36">
        <v>950</v>
      </c>
      <c r="H57" s="35">
        <f>IF($C$5="R",G57/$C57,G57)</f>
        <v>1.4615384615384615</v>
      </c>
      <c r="I57" s="37">
        <f t="shared" ref="I57:I76" si="8">G57*(1+$C$46)</f>
        <v>978.5</v>
      </c>
      <c r="J57" s="35">
        <f>IF($C$5="R",I57/$C57,I57)</f>
        <v>1.5053846153846153</v>
      </c>
      <c r="K57" s="38">
        <f t="shared" ref="K57:K76" si="9">I57*(1+$C$47)</f>
        <v>1007.855</v>
      </c>
      <c r="L57" s="35">
        <f>IF($C$5="R",K57/$C57,K57)</f>
        <v>1.5505461538461538</v>
      </c>
    </row>
    <row r="58" spans="1:13" ht="18.75" customHeight="1" x14ac:dyDescent="0.3">
      <c r="A58" s="30">
        <v>1</v>
      </c>
      <c r="B58" s="31" t="s">
        <v>51</v>
      </c>
      <c r="C58" s="32">
        <v>4189</v>
      </c>
      <c r="D58" s="33">
        <f t="shared" si="7"/>
        <v>4189</v>
      </c>
      <c r="E58" s="34">
        <v>5062</v>
      </c>
      <c r="F58" s="35">
        <f t="shared" ref="F58:F65" si="10">IF($C$5="R",E58/$C58,E58)</f>
        <v>1.2084029601336834</v>
      </c>
      <c r="G58" s="36">
        <v>5062</v>
      </c>
      <c r="H58" s="35">
        <f t="shared" ref="H58:H65" si="11">IF($C$5="R",G58/$C58,G58)</f>
        <v>1.2084029601336834</v>
      </c>
      <c r="I58" s="37">
        <f t="shared" si="8"/>
        <v>5213.8600000000006</v>
      </c>
      <c r="J58" s="35">
        <f t="shared" ref="J58:J65" si="12">IF($C$5="R",I58/$C58,I58)</f>
        <v>1.2446550489376942</v>
      </c>
      <c r="K58" s="38">
        <f t="shared" si="9"/>
        <v>5370.2758000000003</v>
      </c>
      <c r="L58" s="35">
        <f t="shared" ref="L58:L65" si="13">IF($C$5="R",K58/$C58,K58)</f>
        <v>1.281994700405825</v>
      </c>
    </row>
    <row r="59" spans="1:13" ht="18.75" hidden="1" customHeight="1" x14ac:dyDescent="0.3">
      <c r="A59" s="30"/>
      <c r="B59" s="31"/>
      <c r="C59" s="32"/>
      <c r="D59" s="33">
        <f t="shared" si="7"/>
        <v>0</v>
      </c>
      <c r="E59" s="34"/>
      <c r="F59" s="35" t="e">
        <f t="shared" si="10"/>
        <v>#DIV/0!</v>
      </c>
      <c r="G59" s="36"/>
      <c r="H59" s="35" t="e">
        <f t="shared" si="11"/>
        <v>#DIV/0!</v>
      </c>
      <c r="I59" s="37">
        <f t="shared" si="8"/>
        <v>0</v>
      </c>
      <c r="J59" s="35" t="e">
        <f t="shared" si="12"/>
        <v>#DIV/0!</v>
      </c>
      <c r="K59" s="38">
        <f t="shared" si="9"/>
        <v>0</v>
      </c>
      <c r="L59" s="35" t="e">
        <f t="shared" si="13"/>
        <v>#DIV/0!</v>
      </c>
    </row>
    <row r="60" spans="1:13" ht="18.75" hidden="1" customHeight="1" x14ac:dyDescent="0.3">
      <c r="A60" s="30"/>
      <c r="B60" s="31"/>
      <c r="C60" s="32"/>
      <c r="D60" s="33">
        <f t="shared" si="7"/>
        <v>0</v>
      </c>
      <c r="E60" s="34"/>
      <c r="F60" s="35" t="e">
        <f t="shared" si="10"/>
        <v>#DIV/0!</v>
      </c>
      <c r="G60" s="36"/>
      <c r="H60" s="35" t="e">
        <f t="shared" si="11"/>
        <v>#DIV/0!</v>
      </c>
      <c r="I60" s="37">
        <f t="shared" si="8"/>
        <v>0</v>
      </c>
      <c r="J60" s="35" t="e">
        <f t="shared" si="12"/>
        <v>#DIV/0!</v>
      </c>
      <c r="K60" s="38">
        <f t="shared" si="9"/>
        <v>0</v>
      </c>
      <c r="L60" s="35" t="e">
        <f t="shared" si="13"/>
        <v>#DIV/0!</v>
      </c>
    </row>
    <row r="61" spans="1:13" ht="18.75" hidden="1" customHeight="1" x14ac:dyDescent="0.3">
      <c r="A61" s="30"/>
      <c r="B61" s="31"/>
      <c r="C61" s="32"/>
      <c r="D61" s="33">
        <f t="shared" si="7"/>
        <v>0</v>
      </c>
      <c r="E61" s="34"/>
      <c r="F61" s="35" t="e">
        <f t="shared" si="10"/>
        <v>#DIV/0!</v>
      </c>
      <c r="G61" s="36"/>
      <c r="H61" s="35" t="e">
        <f t="shared" si="11"/>
        <v>#DIV/0!</v>
      </c>
      <c r="I61" s="37">
        <f>G61*(1+$C$46)</f>
        <v>0</v>
      </c>
      <c r="J61" s="35" t="e">
        <f t="shared" si="12"/>
        <v>#DIV/0!</v>
      </c>
      <c r="K61" s="38">
        <f>I61*(1+$C$47)</f>
        <v>0</v>
      </c>
      <c r="L61" s="35" t="e">
        <f t="shared" si="13"/>
        <v>#DIV/0!</v>
      </c>
    </row>
    <row r="62" spans="1:13" ht="18.75" hidden="1" customHeight="1" x14ac:dyDescent="0.3">
      <c r="A62" s="30"/>
      <c r="B62" s="31"/>
      <c r="C62" s="32"/>
      <c r="D62" s="33">
        <f t="shared" si="7"/>
        <v>0</v>
      </c>
      <c r="E62" s="34"/>
      <c r="F62" s="35" t="e">
        <f t="shared" si="10"/>
        <v>#DIV/0!</v>
      </c>
      <c r="G62" s="36"/>
      <c r="H62" s="35" t="e">
        <f t="shared" si="11"/>
        <v>#DIV/0!</v>
      </c>
      <c r="I62" s="37">
        <f>G62*(1+$C$46)</f>
        <v>0</v>
      </c>
      <c r="J62" s="35" t="e">
        <f t="shared" si="12"/>
        <v>#DIV/0!</v>
      </c>
      <c r="K62" s="38">
        <f>I62*(1+$C$47)</f>
        <v>0</v>
      </c>
      <c r="L62" s="35" t="e">
        <f t="shared" si="13"/>
        <v>#DIV/0!</v>
      </c>
    </row>
    <row r="63" spans="1:13" ht="18.75" hidden="1" customHeight="1" x14ac:dyDescent="0.3">
      <c r="A63" s="30"/>
      <c r="B63" s="31"/>
      <c r="C63" s="32"/>
      <c r="D63" s="33">
        <f t="shared" si="7"/>
        <v>0</v>
      </c>
      <c r="E63" s="34"/>
      <c r="F63" s="35" t="e">
        <f t="shared" si="10"/>
        <v>#DIV/0!</v>
      </c>
      <c r="G63" s="36"/>
      <c r="H63" s="35" t="e">
        <f t="shared" si="11"/>
        <v>#DIV/0!</v>
      </c>
      <c r="I63" s="37">
        <f>G63*(1+$C$46)</f>
        <v>0</v>
      </c>
      <c r="J63" s="35" t="e">
        <f t="shared" si="12"/>
        <v>#DIV/0!</v>
      </c>
      <c r="K63" s="38">
        <f>I63*(1+$C$47)</f>
        <v>0</v>
      </c>
      <c r="L63" s="35" t="e">
        <f t="shared" si="13"/>
        <v>#DIV/0!</v>
      </c>
    </row>
    <row r="64" spans="1:13" ht="18.75" hidden="1" customHeight="1" x14ac:dyDescent="0.3">
      <c r="A64" s="30"/>
      <c r="B64" s="31"/>
      <c r="C64" s="32"/>
      <c r="D64" s="33">
        <f t="shared" si="7"/>
        <v>0</v>
      </c>
      <c r="E64" s="34"/>
      <c r="F64" s="35" t="e">
        <f t="shared" si="10"/>
        <v>#DIV/0!</v>
      </c>
      <c r="G64" s="36"/>
      <c r="H64" s="35" t="e">
        <f t="shared" si="11"/>
        <v>#DIV/0!</v>
      </c>
      <c r="I64" s="37">
        <f>G64*(1+$C$46)</f>
        <v>0</v>
      </c>
      <c r="J64" s="35" t="e">
        <f t="shared" si="12"/>
        <v>#DIV/0!</v>
      </c>
      <c r="K64" s="38">
        <f>I64*(1+$C$47)</f>
        <v>0</v>
      </c>
      <c r="L64" s="35" t="e">
        <f t="shared" si="13"/>
        <v>#DIV/0!</v>
      </c>
    </row>
    <row r="65" spans="1:14" ht="18.75" hidden="1" customHeight="1" x14ac:dyDescent="0.3">
      <c r="A65" s="30"/>
      <c r="B65" s="31"/>
      <c r="C65" s="32"/>
      <c r="D65" s="33">
        <f t="shared" si="7"/>
        <v>0</v>
      </c>
      <c r="E65" s="34"/>
      <c r="F65" s="35" t="e">
        <f t="shared" si="10"/>
        <v>#DIV/0!</v>
      </c>
      <c r="G65" s="36"/>
      <c r="H65" s="35" t="e">
        <f t="shared" si="11"/>
        <v>#DIV/0!</v>
      </c>
      <c r="I65" s="37">
        <f t="shared" si="8"/>
        <v>0</v>
      </c>
      <c r="J65" s="35" t="e">
        <f t="shared" si="12"/>
        <v>#DIV/0!</v>
      </c>
      <c r="K65" s="38">
        <f t="shared" si="9"/>
        <v>0</v>
      </c>
      <c r="L65" s="35" t="e">
        <f t="shared" si="13"/>
        <v>#DIV/0!</v>
      </c>
    </row>
    <row r="66" spans="1:14" ht="18.75" hidden="1" customHeight="1" outlineLevel="1" x14ac:dyDescent="0.3">
      <c r="A66" s="30"/>
      <c r="B66" s="31"/>
      <c r="C66" s="32"/>
      <c r="D66" s="33">
        <f t="shared" si="7"/>
        <v>0</v>
      </c>
      <c r="E66" s="34"/>
      <c r="F66" s="35" t="e">
        <f t="shared" ref="F66:F76" si="14">IF($C$5="R",E66/$C66*12,E66)</f>
        <v>#DIV/0!</v>
      </c>
      <c r="G66" s="36"/>
      <c r="H66" s="35" t="e">
        <f t="shared" ref="H66:H76" si="15">IF($C$5="R",G66/$C66*12,G66)</f>
        <v>#DIV/0!</v>
      </c>
      <c r="I66" s="37">
        <f t="shared" si="8"/>
        <v>0</v>
      </c>
      <c r="J66" s="35" t="e">
        <f t="shared" ref="J66:J76" si="16">IF($C$5="R",I66/$C66*12,I66)</f>
        <v>#DIV/0!</v>
      </c>
      <c r="K66" s="38">
        <f t="shared" si="9"/>
        <v>0</v>
      </c>
      <c r="L66" s="35" t="e">
        <f t="shared" ref="L66:L76" si="17">IF($C$5="R",K66/$C66*12,K66)</f>
        <v>#DIV/0!</v>
      </c>
    </row>
    <row r="67" spans="1:14" ht="18.75" hidden="1" customHeight="1" outlineLevel="1" x14ac:dyDescent="0.3">
      <c r="A67" s="30"/>
      <c r="B67" s="31"/>
      <c r="C67" s="32"/>
      <c r="D67" s="33">
        <f t="shared" si="7"/>
        <v>0</v>
      </c>
      <c r="E67" s="34"/>
      <c r="F67" s="35" t="e">
        <f t="shared" si="14"/>
        <v>#DIV/0!</v>
      </c>
      <c r="G67" s="36"/>
      <c r="H67" s="35" t="e">
        <f t="shared" si="15"/>
        <v>#DIV/0!</v>
      </c>
      <c r="I67" s="37">
        <f t="shared" si="8"/>
        <v>0</v>
      </c>
      <c r="J67" s="35" t="e">
        <f t="shared" si="16"/>
        <v>#DIV/0!</v>
      </c>
      <c r="K67" s="38">
        <f t="shared" si="9"/>
        <v>0</v>
      </c>
      <c r="L67" s="35" t="e">
        <f t="shared" si="17"/>
        <v>#DIV/0!</v>
      </c>
    </row>
    <row r="68" spans="1:14" ht="18.75" hidden="1" customHeight="1" outlineLevel="1" x14ac:dyDescent="0.3">
      <c r="A68" s="30"/>
      <c r="B68" s="31"/>
      <c r="C68" s="32"/>
      <c r="D68" s="33">
        <f t="shared" si="7"/>
        <v>0</v>
      </c>
      <c r="E68" s="34"/>
      <c r="F68" s="35" t="e">
        <f t="shared" si="14"/>
        <v>#DIV/0!</v>
      </c>
      <c r="G68" s="36"/>
      <c r="H68" s="35" t="e">
        <f t="shared" si="15"/>
        <v>#DIV/0!</v>
      </c>
      <c r="I68" s="37">
        <f t="shared" si="8"/>
        <v>0</v>
      </c>
      <c r="J68" s="35" t="e">
        <f t="shared" si="16"/>
        <v>#DIV/0!</v>
      </c>
      <c r="K68" s="38">
        <f t="shared" si="9"/>
        <v>0</v>
      </c>
      <c r="L68" s="35" t="e">
        <f t="shared" si="17"/>
        <v>#DIV/0!</v>
      </c>
    </row>
    <row r="69" spans="1:14" ht="18.75" hidden="1" customHeight="1" outlineLevel="1" x14ac:dyDescent="0.3">
      <c r="A69" s="30"/>
      <c r="B69" s="31"/>
      <c r="C69" s="32"/>
      <c r="D69" s="33">
        <f t="shared" si="7"/>
        <v>0</v>
      </c>
      <c r="E69" s="34"/>
      <c r="F69" s="35" t="e">
        <f t="shared" si="14"/>
        <v>#DIV/0!</v>
      </c>
      <c r="G69" s="36"/>
      <c r="H69" s="35" t="e">
        <f t="shared" si="15"/>
        <v>#DIV/0!</v>
      </c>
      <c r="I69" s="37">
        <f t="shared" si="8"/>
        <v>0</v>
      </c>
      <c r="J69" s="35" t="e">
        <f t="shared" si="16"/>
        <v>#DIV/0!</v>
      </c>
      <c r="K69" s="38">
        <f t="shared" si="9"/>
        <v>0</v>
      </c>
      <c r="L69" s="35" t="e">
        <f t="shared" si="17"/>
        <v>#DIV/0!</v>
      </c>
    </row>
    <row r="70" spans="1:14" ht="18.75" hidden="1" customHeight="1" outlineLevel="1" x14ac:dyDescent="0.3">
      <c r="A70" s="30"/>
      <c r="B70" s="31"/>
      <c r="C70" s="32"/>
      <c r="D70" s="33">
        <f t="shared" si="7"/>
        <v>0</v>
      </c>
      <c r="E70" s="34"/>
      <c r="F70" s="35" t="e">
        <f t="shared" si="14"/>
        <v>#DIV/0!</v>
      </c>
      <c r="G70" s="36"/>
      <c r="H70" s="35" t="e">
        <f t="shared" si="15"/>
        <v>#DIV/0!</v>
      </c>
      <c r="I70" s="37">
        <f t="shared" si="8"/>
        <v>0</v>
      </c>
      <c r="J70" s="35" t="e">
        <f t="shared" si="16"/>
        <v>#DIV/0!</v>
      </c>
      <c r="K70" s="38">
        <f t="shared" si="9"/>
        <v>0</v>
      </c>
      <c r="L70" s="35" t="e">
        <f t="shared" si="17"/>
        <v>#DIV/0!</v>
      </c>
    </row>
    <row r="71" spans="1:14" ht="18.75" hidden="1" customHeight="1" outlineLevel="1" x14ac:dyDescent="0.3">
      <c r="A71" s="30"/>
      <c r="B71" s="31"/>
      <c r="C71" s="32"/>
      <c r="D71" s="33">
        <f t="shared" si="7"/>
        <v>0</v>
      </c>
      <c r="E71" s="34"/>
      <c r="F71" s="35" t="e">
        <f t="shared" si="14"/>
        <v>#DIV/0!</v>
      </c>
      <c r="G71" s="36"/>
      <c r="H71" s="35" t="e">
        <f t="shared" si="15"/>
        <v>#DIV/0!</v>
      </c>
      <c r="I71" s="37">
        <f t="shared" si="8"/>
        <v>0</v>
      </c>
      <c r="J71" s="35" t="e">
        <f t="shared" si="16"/>
        <v>#DIV/0!</v>
      </c>
      <c r="K71" s="38">
        <f t="shared" si="9"/>
        <v>0</v>
      </c>
      <c r="L71" s="35" t="e">
        <f t="shared" si="17"/>
        <v>#DIV/0!</v>
      </c>
    </row>
    <row r="72" spans="1:14" ht="18.75" hidden="1" customHeight="1" outlineLevel="1" x14ac:dyDescent="0.3">
      <c r="A72" s="30"/>
      <c r="B72" s="31"/>
      <c r="C72" s="32"/>
      <c r="D72" s="33">
        <f t="shared" si="7"/>
        <v>0</v>
      </c>
      <c r="E72" s="34"/>
      <c r="F72" s="35" t="e">
        <f t="shared" si="14"/>
        <v>#DIV/0!</v>
      </c>
      <c r="G72" s="36"/>
      <c r="H72" s="35" t="e">
        <f t="shared" si="15"/>
        <v>#DIV/0!</v>
      </c>
      <c r="I72" s="37">
        <f t="shared" si="8"/>
        <v>0</v>
      </c>
      <c r="J72" s="35" t="e">
        <f t="shared" si="16"/>
        <v>#DIV/0!</v>
      </c>
      <c r="K72" s="38">
        <f t="shared" si="9"/>
        <v>0</v>
      </c>
      <c r="L72" s="35" t="e">
        <f t="shared" si="17"/>
        <v>#DIV/0!</v>
      </c>
    </row>
    <row r="73" spans="1:14" ht="18.75" hidden="1" customHeight="1" outlineLevel="1" x14ac:dyDescent="0.3">
      <c r="A73" s="30"/>
      <c r="B73" s="31"/>
      <c r="C73" s="32"/>
      <c r="D73" s="33">
        <f t="shared" si="7"/>
        <v>0</v>
      </c>
      <c r="E73" s="34"/>
      <c r="F73" s="35" t="e">
        <f t="shared" si="14"/>
        <v>#DIV/0!</v>
      </c>
      <c r="G73" s="36"/>
      <c r="H73" s="35" t="e">
        <f t="shared" si="15"/>
        <v>#DIV/0!</v>
      </c>
      <c r="I73" s="37">
        <f t="shared" si="8"/>
        <v>0</v>
      </c>
      <c r="J73" s="35" t="e">
        <f t="shared" si="16"/>
        <v>#DIV/0!</v>
      </c>
      <c r="K73" s="38">
        <f t="shared" si="9"/>
        <v>0</v>
      </c>
      <c r="L73" s="35" t="e">
        <f t="shared" si="17"/>
        <v>#DIV/0!</v>
      </c>
    </row>
    <row r="74" spans="1:14" ht="18.75" hidden="1" customHeight="1" outlineLevel="1" x14ac:dyDescent="0.3">
      <c r="A74" s="30"/>
      <c r="B74" s="31"/>
      <c r="C74" s="32"/>
      <c r="D74" s="33">
        <f t="shared" si="7"/>
        <v>0</v>
      </c>
      <c r="E74" s="34"/>
      <c r="F74" s="35" t="e">
        <f t="shared" si="14"/>
        <v>#DIV/0!</v>
      </c>
      <c r="G74" s="36"/>
      <c r="H74" s="35" t="e">
        <f t="shared" si="15"/>
        <v>#DIV/0!</v>
      </c>
      <c r="I74" s="37">
        <f t="shared" si="8"/>
        <v>0</v>
      </c>
      <c r="J74" s="35" t="e">
        <f t="shared" si="16"/>
        <v>#DIV/0!</v>
      </c>
      <c r="K74" s="38">
        <f t="shared" si="9"/>
        <v>0</v>
      </c>
      <c r="L74" s="35" t="e">
        <f t="shared" si="17"/>
        <v>#DIV/0!</v>
      </c>
    </row>
    <row r="75" spans="1:14" ht="18.75" hidden="1" customHeight="1" outlineLevel="1" x14ac:dyDescent="0.3">
      <c r="A75" s="30"/>
      <c r="B75" s="31"/>
      <c r="C75" s="32"/>
      <c r="D75" s="33">
        <f t="shared" si="7"/>
        <v>0</v>
      </c>
      <c r="E75" s="34"/>
      <c r="F75" s="35" t="e">
        <f t="shared" si="14"/>
        <v>#DIV/0!</v>
      </c>
      <c r="G75" s="36"/>
      <c r="H75" s="35" t="e">
        <f t="shared" si="15"/>
        <v>#DIV/0!</v>
      </c>
      <c r="I75" s="37">
        <f t="shared" si="8"/>
        <v>0</v>
      </c>
      <c r="J75" s="35" t="e">
        <f t="shared" si="16"/>
        <v>#DIV/0!</v>
      </c>
      <c r="K75" s="38">
        <f t="shared" si="9"/>
        <v>0</v>
      </c>
      <c r="L75" s="35" t="e">
        <f t="shared" si="17"/>
        <v>#DIV/0!</v>
      </c>
    </row>
    <row r="76" spans="1:14" ht="18.75" hidden="1" customHeight="1" outlineLevel="1" x14ac:dyDescent="0.3">
      <c r="A76" s="39"/>
      <c r="B76" s="40"/>
      <c r="C76" s="41"/>
      <c r="D76" s="42">
        <f t="shared" si="7"/>
        <v>0</v>
      </c>
      <c r="E76" s="43"/>
      <c r="F76" s="35" t="e">
        <f t="shared" si="14"/>
        <v>#DIV/0!</v>
      </c>
      <c r="G76" s="44"/>
      <c r="H76" s="35" t="e">
        <f t="shared" si="15"/>
        <v>#DIV/0!</v>
      </c>
      <c r="I76" s="45">
        <f t="shared" si="8"/>
        <v>0</v>
      </c>
      <c r="J76" s="35" t="e">
        <f t="shared" si="16"/>
        <v>#DIV/0!</v>
      </c>
      <c r="K76" s="45">
        <f t="shared" si="9"/>
        <v>0</v>
      </c>
      <c r="L76" s="35" t="e">
        <f t="shared" si="17"/>
        <v>#DIV/0!</v>
      </c>
    </row>
    <row r="77" spans="1:14" s="29" customFormat="1" ht="17.25" collapsed="1" thickBot="1" x14ac:dyDescent="0.35">
      <c r="A77" s="46">
        <f>IF(C4="R",SUM(A57:A76),"")</f>
        <v>17</v>
      </c>
      <c r="B77" s="46"/>
      <c r="C77" s="47" t="str">
        <f>IF($C$4="r","",SUM(C57:C76))</f>
        <v/>
      </c>
      <c r="D77" s="47">
        <f>SUM(D57:D76)</f>
        <v>14589</v>
      </c>
      <c r="E77" s="48" t="str">
        <f>IF($C$5="R",IF($C$4="r","",SUM(E57:E76)),"")</f>
        <v/>
      </c>
      <c r="F77" s="49">
        <f>IF($C$5="r",IF($C$4="r",((E57*$A57+E58*$A58+E59*$A59+E60*$A60+E61*$A61+E62*$A62+E63*$A63+E64*$A64+E65*$A65+E66*$A66*E67*$A67+E68*$A68+E69*$A69+E70*$A70+E71*$A71+E72*$A72+E73*$A73+E74*$A74+E75*$A75+E76*$A76)/$D77*12),E77/$C77*12),(E78/$D77))</f>
        <v>16.666255397902528</v>
      </c>
      <c r="G77" s="48" t="str">
        <f>IF($C$5="R",IF($C$4="r","",SUM(G57:G76)),"")</f>
        <v/>
      </c>
      <c r="H77" s="49">
        <f>IF($C$5="r",IF($C$4="r",((G57*$A57+G58*$A58+G59*$A59+G60*$A60+G61*$A61+G62*$A62+G63*$A63+G64*$A64+G65*$A65+G66*$A66*G67*$A67+G68*$A68+G69*$A69+G70*$A70+G71*$A71+G72*$A72+G73*$A73+G74*$A74+G75*$A75+G76*$A76)/$D77*12),G77/$C77*12),(G78/$D77))</f>
        <v>16.666255397902528</v>
      </c>
      <c r="I77" s="48" t="str">
        <f>IF($C$5="R",IF($C$4="r","",SUM(I57:I76)),"")</f>
        <v/>
      </c>
      <c r="J77" s="49">
        <f>IF($C$5="r",IF($C$4="r",((I57*$A57+I58*$A58+I59*$A59+I60*$A60+I61*$A61+I62*$A62+I63*$A63+I64*$A64+I65*$A65+I66*$A66*I67*$A67+I68*$A68+I69*$A69+I70*$A70+I71*$A71+I72*$A72+I73*$A73+I74*$A74+I75*$A75+I76*$A76)/$D77*12),I77/$C77*12),(I78/$D77))</f>
        <v>17.166243059839605</v>
      </c>
      <c r="K77" s="48" t="str">
        <f>IF($C$5="R",IF($C$4="r","",SUM(K57:K76)),"")</f>
        <v/>
      </c>
      <c r="L77" s="49">
        <f>IF($C$5="r",IF($C$4="r",((K57*$A57+K58*$A58+K59*$A59+K60*$A60+K61*$A61+K62*$A62+K63*$A63+K64*$A64+K65*$A65+K66*$A66*K67*$A67+K68*$A68+K69*$A69+K70*$A70+K71*$A71+K72*$A72+K73*$A73+K74*$A74+K75*$A75+K76*$A76)/$D77*12),K77/$C77*12),(K78/$D77))</f>
        <v>17.681230351634792</v>
      </c>
    </row>
    <row r="78" spans="1:14" s="29" customFormat="1" ht="17.25" thickBot="1" x14ac:dyDescent="0.35">
      <c r="A78" s="50"/>
      <c r="B78" s="51"/>
      <c r="C78" s="52"/>
      <c r="D78" s="53" t="s">
        <v>52</v>
      </c>
      <c r="E78" s="54">
        <f>IF($C$5="r",IF($C$4="r",(E57*$A57+E58*$A58+E59*$A59+E60*$A60+E61*$A61+E62*$A62+E63*$A63+E64*$A64+E65*$A65+E66*$A66+E67*$A67+E68*$A68+E69*$A69+E70*$A70+E71*$A71+E72*$A72+E73*$A73+E74*$A74+E75*$A75+E76*$A76),SUM(E57:E76)),IF($C$4="c",((E57*$C57+E58*$C58+E59*$C59+E60*$C60+E61*$C61+E62*$C62+E63*$C63+E64*$C64+E65*$C65+E66*$C66+E67*$C67+E68*$C68+E69*$C69+E70*$C70+E71*$C71+E72*$C72+E73*$C73+E74*$C74+E75*$C75+E76*$C76)),((E57*$C57*$A57+E58*$C58*$A58+E59*$C59*$A59+E60*$C60*$A60+E61*$C61*$A61+E62*$C62*$A62+E63*$C63*$A63+E64*$C64*$A64+E65*$C65*$A65+E66*$C66*$A66+E67*$C67*$A67+E68*$C68*$A68+E69*$C69*$A69+E70*$C70*$A70+E71*$C71*$A71+E72*$C72*$A72+E73*$C73*$A73+E74*$C74*$A74+E75*$C75*$A75+E76*$C76*$A76))))</f>
        <v>20262</v>
      </c>
      <c r="F78" s="55"/>
      <c r="G78" s="54">
        <f>IF($C$5="r",IF($C$4="r",(G57*$A57+G58*$A58+G59*$A59+G60*$A60+G61*$A61+G62*$A62+G63*$A63+G64*$A64+G65*$A65+G66*$A66+G67*$A67+G68*$A68+G69*$A69+G70*$A70+G71*$A71+G72*$A72+G73*$A73+G74*$A74+G75*$A75+G76*$A76),SUM(G57:G76)),IF($C$4="c",((G57*$C57+G58*$C58+G59*$C59+G60*$C60+G61*$C61+G62*$C62+G63*$C63+G64*$C64+G65*$C65+G66*$C66+G67*$C67+G68*$C68+G69*$C69+G70*$C70+G71*$C71+G72*$C72+G73*$C73+G74*$C74+G75*$C75+G76*$C76)),((G57*$C57*$A57+G58*$C58*$A58+G59*$C59*$A59+G60*$C60*$A60+G61*$C61*$A61+G62*$C62*$A62+G63*$C63*$A63+G64*$C64*$A64+G65*$C65*$A65+G66*$C66*$A66+G67*$C67*$A67+G68*$C68*$A68+G69*$C69*$A69+G70*$C70*$A70+G71*$C71*$A71+G72*$C72*$A72+G73*$C73*$A73+G74*$C74*$A74+G75*$C75*$A75+G76*$C76*$A76))))</f>
        <v>20262</v>
      </c>
      <c r="H78" s="55"/>
      <c r="I78" s="54">
        <f>IF($C$5="r",IF($C$4="r",(I57*$A57+I58*$A58+I59*$A59+I60*$A60+I61*$A61+I62*$A62+I63*$A63+I64*$A64+I65*$A65+I66*$A66+I67*$A67+I68*$A68+I69*$A69+I70*$A70+I71*$A71+I72*$A72+I73*$A73+I74*$A74+I75*$A75+I76*$A76),SUM(I57:I76)),IF($C$4="c",((I57*$C57+I58*$C58+I59*$C59+I60*$C60+I61*$C61+I62*$C62+I63*$C63+I64*$C64+I65*$C65+I66*$C66+I67*$C67+I68*$C68+I69*$C69+I70*$C70+I71*$C71+I72*$C72+I73*$C73+I74*$C74+I75*$C75+I76*$C76)),((I57*$C57*$A57+I58*$C58*$A58+I59*$C59*$A59+I60*$C60*$A60+I61*$C61*$A61+I62*$C62*$A62+I63*$C63*$A63+I64*$C64*$A64+I65*$C65*$A65+I66*$C66*$A66+I67*$C67*$A67+I68*$C68*$A68+I69*$C69*$A69+I70*$C70*$A70+I71*$C71*$A71+I72*$C72*$A72+I73*$C73*$A73+I74*$C74*$A74+I75*$C75*$A75+I76*$C76*$A76))))</f>
        <v>20869.86</v>
      </c>
      <c r="J78" s="55"/>
      <c r="K78" s="54">
        <f>IF($C$5="r",IF($C$4="r",(K57*$A57+K58*$A58+K59*$A59+K60*$A60+K61*$A61+K62*$A62+K63*$A63+K64*$A64+K65*$A65+K66*$A66+K67*$A67+K68*$A68+K69*$A69+K70*$A70+K71*$A71+K72*$A72+K73*$A73+K74*$A74+K75*$A75+K76*$A76),SUM(K57:K76)),IF($C$4="c",((K57*$C57+K58*$C58+K59*$C59+K60*$C60+K61*$C61+K62*$C62+K63*$C63+K64*$C64+K65*$C65+K66*$C66+K67*$C67+K68*$C68+K69*$C69+K70*$C70+K71*$C71+K72*$C72+K73*$C73+K74*$C74+K75*$C75+K76*$C76)),((K57*$C57*$A57+K58*$C58*$A58+K59*$C59*$A59+K60*$C60*$A60+K61*$C61*$A61+K62*$C62*$A62+K63*$C63*$A63+K64*$C64*$A64+K65*$C65*$A65+K66*$C66*$A66+K67*$C67*$A67+K68*$C68*$A68+K69*$C69*$A69+K70*$C70*$A70+K71*$C71*$A71+K72*$C72*$A72+K73*$C73*$A73+K74*$C74*$A74+K75*$C75*$A75+K76*$C76*$A76))))</f>
        <v>21495.9558</v>
      </c>
      <c r="L78" s="55"/>
    </row>
    <row r="79" spans="1:14" ht="15" customHeight="1" thickBot="1" x14ac:dyDescent="0.3">
      <c r="A79" s="22"/>
      <c r="B79" s="22"/>
      <c r="C79" s="22"/>
      <c r="D79" s="22"/>
      <c r="E79" s="17"/>
      <c r="F79" s="17"/>
      <c r="G79" s="17"/>
      <c r="H79" s="17"/>
      <c r="I79" s="17"/>
      <c r="J79" s="17"/>
      <c r="L79" s="3"/>
    </row>
    <row r="80" spans="1:14" s="29" customFormat="1" ht="57" customHeight="1" thickBot="1" x14ac:dyDescent="0.35">
      <c r="A80" s="56" t="s">
        <v>53</v>
      </c>
      <c r="B80" s="57"/>
      <c r="C80" s="58"/>
      <c r="D80" s="59"/>
      <c r="E80" s="483" t="s">
        <v>54</v>
      </c>
      <c r="F80" s="484"/>
      <c r="G80" s="483" t="s">
        <v>55</v>
      </c>
      <c r="H80" s="484"/>
      <c r="I80" s="483" t="s">
        <v>56</v>
      </c>
      <c r="J80" s="484"/>
      <c r="K80" s="483" t="s">
        <v>57</v>
      </c>
      <c r="L80" s="484"/>
      <c r="M80" s="60"/>
      <c r="N80" s="60"/>
    </row>
    <row r="81" spans="1:14" ht="18.75" customHeight="1" x14ac:dyDescent="0.3">
      <c r="A81" s="61" t="s">
        <v>58</v>
      </c>
      <c r="B81" s="62"/>
      <c r="C81" s="62"/>
      <c r="D81" s="63"/>
      <c r="E81" s="64">
        <f>E78*12</f>
        <v>243144</v>
      </c>
      <c r="F81" s="65"/>
      <c r="G81" s="64">
        <f>G78*12</f>
        <v>243144</v>
      </c>
      <c r="H81" s="65"/>
      <c r="I81" s="64">
        <f>I78*12</f>
        <v>250438.32</v>
      </c>
      <c r="J81" s="66"/>
      <c r="K81" s="64">
        <f>K78*12</f>
        <v>257951.46960000001</v>
      </c>
      <c r="L81" s="67"/>
      <c r="M81" s="68"/>
      <c r="N81" s="2"/>
    </row>
    <row r="82" spans="1:14" ht="18.75" customHeight="1" x14ac:dyDescent="0.25">
      <c r="A82" s="69" t="s">
        <v>59</v>
      </c>
      <c r="B82" s="22"/>
      <c r="C82" s="22"/>
      <c r="D82" s="70"/>
      <c r="E82" s="71">
        <f>-F82*E81</f>
        <v>-19451.52</v>
      </c>
      <c r="F82" s="72">
        <v>0.08</v>
      </c>
      <c r="G82" s="71">
        <f>-H82*G81</f>
        <v>-19451.52</v>
      </c>
      <c r="H82" s="72">
        <v>0.08</v>
      </c>
      <c r="I82" s="71">
        <f>-J82*I81</f>
        <v>-7513.1495999999997</v>
      </c>
      <c r="J82" s="72">
        <v>0.03</v>
      </c>
      <c r="K82" s="73">
        <f>-L82*K81</f>
        <v>-7738.5440879999996</v>
      </c>
      <c r="L82" s="74">
        <v>0.03</v>
      </c>
      <c r="M82" s="68"/>
      <c r="N82" s="2"/>
    </row>
    <row r="83" spans="1:14" ht="18.75" customHeight="1" x14ac:dyDescent="0.3">
      <c r="A83" s="75" t="s">
        <v>60</v>
      </c>
      <c r="B83" s="76"/>
      <c r="C83" s="76"/>
      <c r="D83" s="77"/>
      <c r="E83" s="78">
        <v>0</v>
      </c>
      <c r="F83" s="79"/>
      <c r="G83" s="80">
        <v>0</v>
      </c>
      <c r="H83" s="79"/>
      <c r="I83" s="80">
        <v>0</v>
      </c>
      <c r="J83" s="81"/>
      <c r="K83" s="82">
        <v>0</v>
      </c>
      <c r="L83" s="83"/>
      <c r="M83" s="68"/>
      <c r="N83" s="2"/>
    </row>
    <row r="84" spans="1:14" s="93" customFormat="1" ht="19.5" customHeight="1" x14ac:dyDescent="0.2">
      <c r="A84" s="84" t="s">
        <v>61</v>
      </c>
      <c r="B84" s="85"/>
      <c r="C84" s="487" t="s">
        <v>62</v>
      </c>
      <c r="D84" s="488"/>
      <c r="E84" s="86">
        <f>SUM(E81:E83)</f>
        <v>223692.48</v>
      </c>
      <c r="F84" s="87"/>
      <c r="G84" s="86">
        <f>SUM(G81:G83)</f>
        <v>223692.48</v>
      </c>
      <c r="H84" s="87"/>
      <c r="I84" s="86">
        <f>SUM(I81:I83)</f>
        <v>242925.1704</v>
      </c>
      <c r="J84" s="88"/>
      <c r="K84" s="89">
        <f>SUM(K81:K83)</f>
        <v>250212.92551200002</v>
      </c>
      <c r="L84" s="90"/>
      <c r="M84" s="91"/>
      <c r="N84" s="92"/>
    </row>
    <row r="85" spans="1:14" s="93" customFormat="1" ht="19.5" customHeight="1" x14ac:dyDescent="0.2">
      <c r="A85" s="94" t="s">
        <v>63</v>
      </c>
      <c r="B85" s="85"/>
      <c r="C85" s="95">
        <f>(E96+E99+E105+E121+E126)*28.7%</f>
        <v>19429.899999999998</v>
      </c>
      <c r="D85" s="96">
        <v>19430</v>
      </c>
      <c r="E85" s="97">
        <f>IF($C$85=0,IF($C$4="R",0,(E96+E99+E105+E121+(E126*0.5))),$C$85)</f>
        <v>19429.899999999998</v>
      </c>
      <c r="F85" s="98">
        <f>D85/D58</f>
        <v>4.6383385056099309</v>
      </c>
      <c r="G85" s="99">
        <f>IF($D$85=0,IF($C$4="R",0,(G96+G99+G105+G121+(G126*0.5))),$D$85)</f>
        <v>19430</v>
      </c>
      <c r="H85" s="98" t="str">
        <f>IF($C$4="R","",G85/$C$77)</f>
        <v/>
      </c>
      <c r="I85" s="99">
        <f>IF($D$85=0,IF($C$4="R",0,(I96+I99+I105+I121+(I126*0.5))),($G$85*(1+$C50)))</f>
        <v>19818.599999999999</v>
      </c>
      <c r="J85" s="98" t="str">
        <f>IF($C$4="R","",I85/$C$77)</f>
        <v/>
      </c>
      <c r="K85" s="99">
        <f>IF($D$85=0,IF($C$4="R",0,(K96+K99+K105+K121+(K126*0.5))),($I$85*(1+$C51)))</f>
        <v>20214.971999999998</v>
      </c>
      <c r="L85" s="98" t="str">
        <f>IF($C$4="R","",K85/$C$77)</f>
        <v/>
      </c>
      <c r="M85" s="91"/>
      <c r="N85" s="92"/>
    </row>
    <row r="86" spans="1:14" s="93" customFormat="1" ht="19.5" customHeight="1" x14ac:dyDescent="0.2">
      <c r="A86" s="94" t="s">
        <v>64</v>
      </c>
      <c r="B86" s="100"/>
      <c r="C86" s="101"/>
      <c r="D86" s="102"/>
      <c r="E86" s="103"/>
      <c r="F86" s="104"/>
      <c r="G86" s="105"/>
      <c r="H86" s="104"/>
      <c r="I86" s="105"/>
      <c r="J86" s="106"/>
      <c r="K86" s="107"/>
      <c r="L86" s="108"/>
      <c r="M86" s="91"/>
      <c r="N86" s="92"/>
    </row>
    <row r="87" spans="1:14" s="118" customFormat="1" ht="17.25" thickBot="1" x14ac:dyDescent="0.35">
      <c r="A87" s="109" t="s">
        <v>65</v>
      </c>
      <c r="B87" s="110"/>
      <c r="C87" s="111"/>
      <c r="D87" s="112"/>
      <c r="E87" s="113">
        <f>SUM(E84:E86)</f>
        <v>243122.38</v>
      </c>
      <c r="F87" s="114" t="str">
        <f>IF($C$4="R","",F77+F85)</f>
        <v/>
      </c>
      <c r="G87" s="113">
        <f>SUM(G84:G86)</f>
        <v>243122.48</v>
      </c>
      <c r="H87" s="114" t="str">
        <f>IF($C$4="R","",H77+H85)</f>
        <v/>
      </c>
      <c r="I87" s="115">
        <f>SUM(I84:I86)</f>
        <v>262743.77039999998</v>
      </c>
      <c r="J87" s="116" t="str">
        <f>IF($C$4="R","",J77+J85)</f>
        <v/>
      </c>
      <c r="K87" s="115">
        <f>SUM(K84:K86)</f>
        <v>270427.897512</v>
      </c>
      <c r="L87" s="116" t="str">
        <f>IF($C$4="R","",L77+L85)</f>
        <v/>
      </c>
      <c r="M87" s="117"/>
      <c r="N87" s="117"/>
    </row>
    <row r="88" spans="1:14" ht="57" customHeight="1" thickBot="1" x14ac:dyDescent="0.35">
      <c r="A88" s="56" t="s">
        <v>66</v>
      </c>
      <c r="B88" s="119"/>
      <c r="C88" s="120"/>
      <c r="D88" s="121"/>
      <c r="E88" s="483" t="s">
        <v>67</v>
      </c>
      <c r="F88" s="484"/>
      <c r="G88" s="483" t="s">
        <v>68</v>
      </c>
      <c r="H88" s="484"/>
      <c r="I88" s="483" t="s">
        <v>69</v>
      </c>
      <c r="J88" s="484"/>
      <c r="K88" s="483" t="s">
        <v>70</v>
      </c>
      <c r="L88" s="484"/>
      <c r="M88" s="2"/>
      <c r="N88" s="2"/>
    </row>
    <row r="89" spans="1:14" s="118" customFormat="1" ht="20.25" hidden="1" customHeight="1" outlineLevel="1" x14ac:dyDescent="0.3">
      <c r="A89" s="122"/>
      <c r="B89" s="123" t="s">
        <v>71</v>
      </c>
      <c r="C89" s="124"/>
      <c r="D89" s="125"/>
      <c r="E89" s="126">
        <v>0</v>
      </c>
      <c r="F89" s="127"/>
      <c r="G89" s="128">
        <v>0</v>
      </c>
      <c r="H89" s="127"/>
      <c r="I89" s="129">
        <f>G89*(1+$C$50)</f>
        <v>0</v>
      </c>
      <c r="J89" s="130"/>
      <c r="K89" s="131">
        <f>I89*(1+$C$51)</f>
        <v>0</v>
      </c>
      <c r="L89" s="132"/>
      <c r="M89" s="117"/>
      <c r="N89" s="117"/>
    </row>
    <row r="90" spans="1:14" s="118" customFormat="1" ht="20.25" hidden="1" customHeight="1" outlineLevel="1" x14ac:dyDescent="0.3">
      <c r="A90" s="122"/>
      <c r="B90" s="123" t="s">
        <v>72</v>
      </c>
      <c r="C90" s="124"/>
      <c r="D90" s="125"/>
      <c r="E90" s="126">
        <v>0</v>
      </c>
      <c r="F90" s="127"/>
      <c r="G90" s="128">
        <v>0</v>
      </c>
      <c r="H90" s="127"/>
      <c r="I90" s="129">
        <f t="shared" ref="I90:I125" si="18">G90*(1+$C$50)</f>
        <v>0</v>
      </c>
      <c r="J90" s="130"/>
      <c r="K90" s="131">
        <f>I90*(1+$C$51)</f>
        <v>0</v>
      </c>
      <c r="L90" s="132"/>
      <c r="M90" s="117"/>
      <c r="N90" s="117"/>
    </row>
    <row r="91" spans="1:14" s="118" customFormat="1" ht="20.25" hidden="1" customHeight="1" outlineLevel="1" x14ac:dyDescent="0.3">
      <c r="A91" s="122"/>
      <c r="B91" s="123" t="s">
        <v>73</v>
      </c>
      <c r="C91" s="124"/>
      <c r="D91" s="125"/>
      <c r="E91" s="126">
        <v>0</v>
      </c>
      <c r="F91" s="127"/>
      <c r="G91" s="128">
        <v>0</v>
      </c>
      <c r="H91" s="127"/>
      <c r="I91" s="129">
        <f t="shared" si="18"/>
        <v>0</v>
      </c>
      <c r="J91" s="130"/>
      <c r="K91" s="131">
        <f>I91*(1+$C$51)</f>
        <v>0</v>
      </c>
      <c r="L91" s="132"/>
      <c r="M91" s="117"/>
      <c r="N91" s="117"/>
    </row>
    <row r="92" spans="1:14" s="118" customFormat="1" ht="20.25" hidden="1" customHeight="1" outlineLevel="1" x14ac:dyDescent="0.3">
      <c r="A92" s="122"/>
      <c r="B92" s="124" t="s">
        <v>74</v>
      </c>
      <c r="C92" s="124"/>
      <c r="D92" s="125"/>
      <c r="E92" s="126"/>
      <c r="F92" s="127"/>
      <c r="G92" s="128">
        <v>0</v>
      </c>
      <c r="H92" s="127"/>
      <c r="I92" s="129">
        <f t="shared" si="18"/>
        <v>0</v>
      </c>
      <c r="J92" s="130"/>
      <c r="K92" s="131">
        <f>I92*(1+$C$51)</f>
        <v>0</v>
      </c>
      <c r="L92" s="132"/>
      <c r="M92" s="117"/>
      <c r="N92" s="117"/>
    </row>
    <row r="93" spans="1:14" ht="20.25" customHeight="1" collapsed="1" x14ac:dyDescent="0.25">
      <c r="A93" s="69" t="s">
        <v>75</v>
      </c>
      <c r="B93" s="22"/>
      <c r="C93" s="133"/>
      <c r="D93" s="134"/>
      <c r="E93" s="135">
        <f>SUM(E89:E92)</f>
        <v>0</v>
      </c>
      <c r="F93" s="127">
        <f>E93/$E$87</f>
        <v>0</v>
      </c>
      <c r="G93" s="135">
        <f>SUM(G89:G92)</f>
        <v>0</v>
      </c>
      <c r="H93" s="127">
        <f>G93/$G$87</f>
        <v>0</v>
      </c>
      <c r="I93" s="135">
        <f>SUM(I89:I92)</f>
        <v>0</v>
      </c>
      <c r="J93" s="130">
        <f>I93/$I$87</f>
        <v>0</v>
      </c>
      <c r="K93" s="136">
        <f>SUM(K89:K92)</f>
        <v>0</v>
      </c>
      <c r="L93" s="132">
        <f>K93/$K$87</f>
        <v>0</v>
      </c>
      <c r="M93" s="2"/>
      <c r="N93" s="2"/>
    </row>
    <row r="94" spans="1:14" ht="20.25" hidden="1" customHeight="1" outlineLevel="1" x14ac:dyDescent="0.3">
      <c r="A94" s="69"/>
      <c r="B94" s="123" t="s">
        <v>76</v>
      </c>
      <c r="C94" s="133"/>
      <c r="D94" s="134"/>
      <c r="E94" s="137">
        <v>1750</v>
      </c>
      <c r="F94" s="127"/>
      <c r="G94" s="138">
        <v>1750</v>
      </c>
      <c r="H94" s="127"/>
      <c r="I94" s="129">
        <f t="shared" si="18"/>
        <v>1785</v>
      </c>
      <c r="J94" s="130"/>
      <c r="K94" s="131">
        <f>I94*(1+$C$51)</f>
        <v>1820.7</v>
      </c>
      <c r="L94" s="132"/>
      <c r="M94" s="2"/>
      <c r="N94" s="2"/>
    </row>
    <row r="95" spans="1:14" ht="20.25" hidden="1" customHeight="1" outlineLevel="1" x14ac:dyDescent="0.3">
      <c r="A95" s="69"/>
      <c r="B95" s="123" t="s">
        <v>77</v>
      </c>
      <c r="C95" s="133"/>
      <c r="D95" s="134"/>
      <c r="E95" s="137">
        <v>0</v>
      </c>
      <c r="F95" s="127"/>
      <c r="G95" s="138">
        <v>0</v>
      </c>
      <c r="H95" s="127"/>
      <c r="I95" s="129">
        <f t="shared" si="18"/>
        <v>0</v>
      </c>
      <c r="J95" s="130"/>
      <c r="K95" s="131">
        <f>I95*(1+$C$51)</f>
        <v>0</v>
      </c>
      <c r="L95" s="132"/>
      <c r="M95" s="2"/>
      <c r="N95" s="2"/>
    </row>
    <row r="96" spans="1:14" ht="20.25" customHeight="1" collapsed="1" x14ac:dyDescent="0.25">
      <c r="A96" s="69" t="s">
        <v>78</v>
      </c>
      <c r="B96" s="133"/>
      <c r="C96" s="22"/>
      <c r="D96" s="134"/>
      <c r="E96" s="136">
        <f>SUM(E94:E95)</f>
        <v>1750</v>
      </c>
      <c r="F96" s="127">
        <f>E96/$E$87</f>
        <v>7.1980210131210465E-3</v>
      </c>
      <c r="G96" s="136">
        <f>SUM(G94:G95)</f>
        <v>1750</v>
      </c>
      <c r="H96" s="127">
        <f>G96/$G$87</f>
        <v>7.1980180524647492E-3</v>
      </c>
      <c r="I96" s="136">
        <f>SUM(I94:I95)</f>
        <v>1785</v>
      </c>
      <c r="J96" s="130">
        <f>I96/$I$87</f>
        <v>6.7936910446345644E-3</v>
      </c>
      <c r="K96" s="136">
        <f>SUM(K94:K95)</f>
        <v>1820.7</v>
      </c>
      <c r="L96" s="132">
        <f>K96/$K$87</f>
        <v>6.732663370720501E-3</v>
      </c>
      <c r="M96" s="2"/>
      <c r="N96" s="2"/>
    </row>
    <row r="97" spans="1:14" ht="20.25" hidden="1" customHeight="1" outlineLevel="1" x14ac:dyDescent="0.3">
      <c r="A97" s="69"/>
      <c r="B97" s="123" t="s">
        <v>79</v>
      </c>
      <c r="C97" s="22"/>
      <c r="D97" s="134"/>
      <c r="E97" s="139">
        <v>17500</v>
      </c>
      <c r="F97" s="127"/>
      <c r="G97" s="140">
        <v>17500</v>
      </c>
      <c r="H97" s="127"/>
      <c r="I97" s="129">
        <f t="shared" si="18"/>
        <v>17850</v>
      </c>
      <c r="J97" s="130"/>
      <c r="K97" s="131">
        <f>I97*(1+$C$51)</f>
        <v>18207</v>
      </c>
      <c r="L97" s="132"/>
      <c r="M97" s="2"/>
      <c r="N97" s="2"/>
    </row>
    <row r="98" spans="1:14" ht="20.25" hidden="1" customHeight="1" outlineLevel="1" x14ac:dyDescent="0.3">
      <c r="A98" s="69"/>
      <c r="B98" s="123" t="s">
        <v>80</v>
      </c>
      <c r="C98" s="22"/>
      <c r="D98" s="134"/>
      <c r="E98" s="139">
        <v>0</v>
      </c>
      <c r="F98" s="127"/>
      <c r="G98" s="140">
        <v>0</v>
      </c>
      <c r="H98" s="127"/>
      <c r="I98" s="129">
        <f t="shared" si="18"/>
        <v>0</v>
      </c>
      <c r="J98" s="130"/>
      <c r="K98" s="131">
        <f>I98*(1+$C$51)</f>
        <v>0</v>
      </c>
      <c r="L98" s="132"/>
      <c r="M98" s="2"/>
      <c r="N98" s="2"/>
    </row>
    <row r="99" spans="1:14" ht="20.25" customHeight="1" collapsed="1" x14ac:dyDescent="0.25">
      <c r="A99" s="69" t="s">
        <v>72</v>
      </c>
      <c r="B99" s="22"/>
      <c r="C99" s="133"/>
      <c r="D99" s="134"/>
      <c r="E99" s="136">
        <f>SUM(E97:E98)</f>
        <v>17500</v>
      </c>
      <c r="F99" s="127">
        <f>E99/$E$87</f>
        <v>7.1980210131210462E-2</v>
      </c>
      <c r="G99" s="136">
        <f>SUM(G97:G98)</f>
        <v>17500</v>
      </c>
      <c r="H99" s="127">
        <f>G99/$G$87</f>
        <v>7.1980180524647497E-2</v>
      </c>
      <c r="I99" s="136">
        <f>SUM(I97:I98)</f>
        <v>17850</v>
      </c>
      <c r="J99" s="130">
        <f>I99/$I$87</f>
        <v>6.7936910446345644E-2</v>
      </c>
      <c r="K99" s="136">
        <f>SUM(K97:K98)</f>
        <v>18207</v>
      </c>
      <c r="L99" s="132">
        <f>K99/$K$87</f>
        <v>6.7326633707205014E-2</v>
      </c>
      <c r="M99" s="2"/>
      <c r="N99" s="2"/>
    </row>
    <row r="100" spans="1:14" ht="20.25" hidden="1" customHeight="1" outlineLevel="1" x14ac:dyDescent="0.3">
      <c r="A100" s="69"/>
      <c r="B100" s="123" t="s">
        <v>81</v>
      </c>
      <c r="C100" s="133"/>
      <c r="D100" s="134"/>
      <c r="E100" s="139">
        <v>6750</v>
      </c>
      <c r="F100" s="127"/>
      <c r="G100" s="140">
        <v>6750</v>
      </c>
      <c r="H100" s="127"/>
      <c r="I100" s="129">
        <f t="shared" si="18"/>
        <v>6885</v>
      </c>
      <c r="J100" s="130"/>
      <c r="K100" s="131">
        <f>I100*(1+$C$51)</f>
        <v>7022.7</v>
      </c>
      <c r="L100" s="132"/>
      <c r="M100" s="2"/>
      <c r="N100" s="2"/>
    </row>
    <row r="101" spans="1:14" ht="20.25" hidden="1" customHeight="1" outlineLevel="1" x14ac:dyDescent="0.3">
      <c r="A101" s="69"/>
      <c r="B101" s="123" t="s">
        <v>82</v>
      </c>
      <c r="C101" s="133"/>
      <c r="D101" s="134"/>
      <c r="E101" s="139">
        <v>12500</v>
      </c>
      <c r="F101" s="127"/>
      <c r="G101" s="140">
        <v>12500</v>
      </c>
      <c r="H101" s="127"/>
      <c r="I101" s="129">
        <f t="shared" si="18"/>
        <v>12750</v>
      </c>
      <c r="J101" s="130"/>
      <c r="K101" s="131">
        <f>I101*(1+$C$51)</f>
        <v>13005</v>
      </c>
      <c r="L101" s="132"/>
      <c r="M101" s="2"/>
      <c r="N101" s="2"/>
    </row>
    <row r="102" spans="1:14" ht="20.25" hidden="1" customHeight="1" outlineLevel="1" x14ac:dyDescent="0.3">
      <c r="A102" s="69"/>
      <c r="B102" s="123" t="s">
        <v>83</v>
      </c>
      <c r="C102" s="133"/>
      <c r="D102" s="134"/>
      <c r="E102" s="139">
        <v>0</v>
      </c>
      <c r="F102" s="127"/>
      <c r="G102" s="140">
        <v>0</v>
      </c>
      <c r="H102" s="127"/>
      <c r="I102" s="129">
        <f t="shared" si="18"/>
        <v>0</v>
      </c>
      <c r="J102" s="130"/>
      <c r="K102" s="131">
        <f>I102*(1+$C$51)</f>
        <v>0</v>
      </c>
      <c r="L102" s="132"/>
      <c r="M102" s="2"/>
      <c r="N102" s="2"/>
    </row>
    <row r="103" spans="1:14" ht="20.25" hidden="1" customHeight="1" outlineLevel="1" x14ac:dyDescent="0.3">
      <c r="A103" s="69"/>
      <c r="B103" s="123" t="s">
        <v>84</v>
      </c>
      <c r="C103" s="133"/>
      <c r="D103" s="134"/>
      <c r="E103" s="139">
        <v>0</v>
      </c>
      <c r="F103" s="127"/>
      <c r="G103" s="140">
        <v>0</v>
      </c>
      <c r="H103" s="127"/>
      <c r="I103" s="129">
        <f t="shared" si="18"/>
        <v>0</v>
      </c>
      <c r="J103" s="130"/>
      <c r="K103" s="131">
        <f>I103*(1+$C$51)</f>
        <v>0</v>
      </c>
      <c r="L103" s="132"/>
      <c r="M103" s="2"/>
      <c r="N103" s="2"/>
    </row>
    <row r="104" spans="1:14" ht="20.25" hidden="1" customHeight="1" outlineLevel="1" x14ac:dyDescent="0.3">
      <c r="A104" s="69"/>
      <c r="B104" s="133" t="s">
        <v>74</v>
      </c>
      <c r="C104" s="133"/>
      <c r="D104" s="134"/>
      <c r="E104" s="139">
        <v>0</v>
      </c>
      <c r="F104" s="127"/>
      <c r="G104" s="140">
        <v>0</v>
      </c>
      <c r="H104" s="127"/>
      <c r="I104" s="129">
        <f t="shared" si="18"/>
        <v>0</v>
      </c>
      <c r="J104" s="130"/>
      <c r="K104" s="131">
        <f>I104*(1+$C$51)</f>
        <v>0</v>
      </c>
      <c r="L104" s="132"/>
      <c r="M104" s="2"/>
      <c r="N104" s="2"/>
    </row>
    <row r="105" spans="1:14" ht="20.25" customHeight="1" collapsed="1" x14ac:dyDescent="0.25">
      <c r="A105" s="69" t="s">
        <v>24</v>
      </c>
      <c r="B105" s="22"/>
      <c r="C105" s="141"/>
      <c r="D105" s="134"/>
      <c r="E105" s="136">
        <f>SUM(E100:E104)</f>
        <v>19250</v>
      </c>
      <c r="F105" s="127">
        <f>E105/$E$87</f>
        <v>7.9178231144331507E-2</v>
      </c>
      <c r="G105" s="136">
        <f>SUM(G100:G104)</f>
        <v>19250</v>
      </c>
      <c r="H105" s="127">
        <f>G105/$G$87</f>
        <v>7.9178198577112238E-2</v>
      </c>
      <c r="I105" s="136">
        <f>SUM(I100:I104)</f>
        <v>19635</v>
      </c>
      <c r="J105" s="130">
        <f>I105/$I$87</f>
        <v>7.4730601490980209E-2</v>
      </c>
      <c r="K105" s="136">
        <f>SUM(K100:K104)</f>
        <v>20027.7</v>
      </c>
      <c r="L105" s="132">
        <f>K105/$K$87</f>
        <v>7.4059297077925509E-2</v>
      </c>
      <c r="M105" s="2"/>
      <c r="N105" s="2"/>
    </row>
    <row r="106" spans="1:14" ht="20.25" hidden="1" customHeight="1" outlineLevel="1" x14ac:dyDescent="0.3">
      <c r="A106" s="69"/>
      <c r="B106" s="133" t="s">
        <v>85</v>
      </c>
      <c r="C106" s="141"/>
      <c r="D106" s="134"/>
      <c r="E106" s="137">
        <v>17357</v>
      </c>
      <c r="F106" s="127"/>
      <c r="G106" s="138">
        <v>17357</v>
      </c>
      <c r="H106" s="127"/>
      <c r="I106" s="129">
        <f t="shared" si="18"/>
        <v>17704.14</v>
      </c>
      <c r="J106" s="130"/>
      <c r="K106" s="131">
        <f>I106*(1+$C$51)</f>
        <v>18058.2228</v>
      </c>
      <c r="L106" s="132"/>
      <c r="M106" s="2"/>
      <c r="N106" s="2"/>
    </row>
    <row r="107" spans="1:14" ht="20.25" customHeight="1" collapsed="1" x14ac:dyDescent="0.25">
      <c r="A107" s="69" t="s">
        <v>85</v>
      </c>
      <c r="B107" s="22"/>
      <c r="C107" s="141"/>
      <c r="D107" s="134"/>
      <c r="E107" s="142">
        <f>SUM(E106)</f>
        <v>17357</v>
      </c>
      <c r="F107" s="130">
        <f>E107/$E$87</f>
        <v>7.139202898556686E-2</v>
      </c>
      <c r="G107" s="142">
        <f>SUM(G106)</f>
        <v>17357</v>
      </c>
      <c r="H107" s="127">
        <f>G107/$G$87</f>
        <v>7.1391999620931804E-2</v>
      </c>
      <c r="I107" s="143">
        <f>SUM(I106)</f>
        <v>17704.14</v>
      </c>
      <c r="J107" s="130">
        <f>I107/$I$87</f>
        <v>6.7381768835269792E-2</v>
      </c>
      <c r="K107" s="131">
        <f>SUM(K106)</f>
        <v>18058.2228</v>
      </c>
      <c r="L107" s="132">
        <f>K107/$K$87</f>
        <v>6.677647892891185E-2</v>
      </c>
      <c r="M107" s="2"/>
      <c r="N107" s="2"/>
    </row>
    <row r="108" spans="1:14" ht="20.25" hidden="1" customHeight="1" outlineLevel="1" x14ac:dyDescent="0.3">
      <c r="A108" s="69"/>
      <c r="B108" s="123" t="s">
        <v>86</v>
      </c>
      <c r="C108" s="141"/>
      <c r="D108" s="134"/>
      <c r="E108" s="137">
        <v>0</v>
      </c>
      <c r="F108" s="127"/>
      <c r="G108" s="138">
        <v>0</v>
      </c>
      <c r="H108" s="127"/>
      <c r="I108" s="129">
        <f t="shared" si="18"/>
        <v>0</v>
      </c>
      <c r="J108" s="130"/>
      <c r="K108" s="131">
        <f>I108*(1+$C$51)</f>
        <v>0</v>
      </c>
      <c r="L108" s="132"/>
      <c r="M108" s="2"/>
      <c r="N108" s="2"/>
    </row>
    <row r="109" spans="1:14" ht="20.25" hidden="1" customHeight="1" outlineLevel="1" x14ac:dyDescent="0.3">
      <c r="A109" s="69"/>
      <c r="B109" s="123" t="s">
        <v>87</v>
      </c>
      <c r="C109" s="141"/>
      <c r="D109" s="134"/>
      <c r="E109" s="137">
        <v>0</v>
      </c>
      <c r="F109" s="127"/>
      <c r="G109" s="138">
        <v>0</v>
      </c>
      <c r="H109" s="127"/>
      <c r="I109" s="129">
        <f t="shared" si="18"/>
        <v>0</v>
      </c>
      <c r="J109" s="130"/>
      <c r="K109" s="131">
        <f>I109*(1+$C$51)</f>
        <v>0</v>
      </c>
      <c r="L109" s="132"/>
      <c r="M109" s="2"/>
      <c r="N109" s="2"/>
    </row>
    <row r="110" spans="1:14" ht="20.25" hidden="1" customHeight="1" outlineLevel="1" x14ac:dyDescent="0.3">
      <c r="A110" s="69"/>
      <c r="B110" s="123" t="s">
        <v>88</v>
      </c>
      <c r="C110" s="141"/>
      <c r="D110" s="134"/>
      <c r="E110" s="137">
        <v>1500</v>
      </c>
      <c r="F110" s="127"/>
      <c r="G110" s="138">
        <v>1500</v>
      </c>
      <c r="H110" s="127"/>
      <c r="I110" s="129">
        <f t="shared" si="18"/>
        <v>1530</v>
      </c>
      <c r="J110" s="130"/>
      <c r="K110" s="131">
        <f>I110*(1+$C$51)</f>
        <v>1560.6000000000001</v>
      </c>
      <c r="L110" s="132"/>
      <c r="M110" s="2"/>
      <c r="N110" s="2"/>
    </row>
    <row r="111" spans="1:14" ht="20.25" hidden="1" customHeight="1" outlineLevel="1" x14ac:dyDescent="0.3">
      <c r="A111" s="69"/>
      <c r="B111" s="123" t="s">
        <v>89</v>
      </c>
      <c r="C111" s="141"/>
      <c r="D111" s="134"/>
      <c r="E111" s="137">
        <v>0</v>
      </c>
      <c r="F111" s="127"/>
      <c r="G111" s="138">
        <v>0</v>
      </c>
      <c r="H111" s="127"/>
      <c r="I111" s="129">
        <f t="shared" si="18"/>
        <v>0</v>
      </c>
      <c r="J111" s="130"/>
      <c r="K111" s="131">
        <f>I111*(1+$C$51)</f>
        <v>0</v>
      </c>
      <c r="L111" s="132"/>
      <c r="M111" s="2"/>
      <c r="N111" s="2"/>
    </row>
    <row r="112" spans="1:14" ht="20.25" customHeight="1" collapsed="1" x14ac:dyDescent="0.25">
      <c r="A112" s="69" t="s">
        <v>90</v>
      </c>
      <c r="B112" s="124"/>
      <c r="C112" s="22"/>
      <c r="D112" s="134"/>
      <c r="E112" s="135">
        <f>SUM(E108:E111)</f>
        <v>1500</v>
      </c>
      <c r="F112" s="127">
        <f>E112/$E$87</f>
        <v>6.1697322969608967E-3</v>
      </c>
      <c r="G112" s="135">
        <f>SUM(G108:G111)</f>
        <v>1500</v>
      </c>
      <c r="H112" s="127">
        <f>G112/$G$87</f>
        <v>6.1697297592554993E-3</v>
      </c>
      <c r="I112" s="135">
        <f>SUM(I108:I111)</f>
        <v>1530</v>
      </c>
      <c r="J112" s="130">
        <f>I112/$I$87</f>
        <v>5.8231637525439127E-3</v>
      </c>
      <c r="K112" s="136">
        <f>SUM(K108:K111)</f>
        <v>1560.6000000000001</v>
      </c>
      <c r="L112" s="132">
        <f>K112/$K$87</f>
        <v>5.7708543177604297E-3</v>
      </c>
      <c r="M112" s="2"/>
      <c r="N112" s="2"/>
    </row>
    <row r="113" spans="1:14" ht="20.25" hidden="1" customHeight="1" outlineLevel="1" x14ac:dyDescent="0.3">
      <c r="A113" s="69"/>
      <c r="B113" s="123" t="s">
        <v>91</v>
      </c>
      <c r="C113" s="22"/>
      <c r="D113" s="134"/>
      <c r="E113" s="137">
        <v>5000</v>
      </c>
      <c r="F113" s="127"/>
      <c r="G113" s="138">
        <v>5000</v>
      </c>
      <c r="H113" s="127"/>
      <c r="I113" s="129">
        <f t="shared" si="18"/>
        <v>5100</v>
      </c>
      <c r="J113" s="130"/>
      <c r="K113" s="131">
        <f>I113*(1+$C$51)</f>
        <v>5202</v>
      </c>
      <c r="L113" s="132"/>
      <c r="M113" s="2"/>
      <c r="N113" s="2"/>
    </row>
    <row r="114" spans="1:14" ht="20.25" hidden="1" customHeight="1" outlineLevel="1" x14ac:dyDescent="0.3">
      <c r="A114" s="69"/>
      <c r="B114" s="123" t="s">
        <v>92</v>
      </c>
      <c r="C114" s="22"/>
      <c r="D114" s="134"/>
      <c r="E114" s="137">
        <v>0</v>
      </c>
      <c r="F114" s="127"/>
      <c r="G114" s="138">
        <v>0</v>
      </c>
      <c r="H114" s="127"/>
      <c r="I114" s="129">
        <f t="shared" si="18"/>
        <v>0</v>
      </c>
      <c r="J114" s="130"/>
      <c r="K114" s="131">
        <f>I114*(1+$C$51)</f>
        <v>0</v>
      </c>
      <c r="L114" s="132"/>
      <c r="M114" s="2"/>
      <c r="N114" s="2"/>
    </row>
    <row r="115" spans="1:14" ht="20.25" customHeight="1" collapsed="1" x14ac:dyDescent="0.25">
      <c r="A115" s="69" t="s">
        <v>93</v>
      </c>
      <c r="B115" s="124"/>
      <c r="C115" s="22"/>
      <c r="D115" s="134"/>
      <c r="E115" s="135">
        <f>SUM(E113:E114)</f>
        <v>5000</v>
      </c>
      <c r="F115" s="127">
        <f>E115/$E$87</f>
        <v>2.0565774323202991E-2</v>
      </c>
      <c r="G115" s="135">
        <f>SUM(G113:G114)</f>
        <v>5000</v>
      </c>
      <c r="H115" s="127">
        <f>G115/$G$87</f>
        <v>2.0565765864184998E-2</v>
      </c>
      <c r="I115" s="135">
        <f>SUM(I113:I114)</f>
        <v>5100</v>
      </c>
      <c r="J115" s="130">
        <f>I115/$I$87</f>
        <v>1.9410545841813041E-2</v>
      </c>
      <c r="K115" s="136">
        <f>SUM(K113:K114)</f>
        <v>5202</v>
      </c>
      <c r="L115" s="132">
        <f>K115/$K$87</f>
        <v>1.923618105920143E-2</v>
      </c>
      <c r="M115" s="2"/>
      <c r="N115" s="2"/>
    </row>
    <row r="116" spans="1:14" ht="20.25" hidden="1" customHeight="1" outlineLevel="1" x14ac:dyDescent="0.3">
      <c r="A116" s="69"/>
      <c r="B116" s="123" t="s">
        <v>94</v>
      </c>
      <c r="C116" s="22"/>
      <c r="D116" s="134"/>
      <c r="E116" s="137">
        <v>1200</v>
      </c>
      <c r="F116" s="127"/>
      <c r="G116" s="138">
        <v>1200</v>
      </c>
      <c r="H116" s="127"/>
      <c r="I116" s="129">
        <f t="shared" si="18"/>
        <v>1224</v>
      </c>
      <c r="J116" s="130"/>
      <c r="K116" s="131">
        <f>I116*(1+$C$51)</f>
        <v>1248.48</v>
      </c>
      <c r="L116" s="132"/>
      <c r="M116" s="2"/>
      <c r="N116" s="2"/>
    </row>
    <row r="117" spans="1:14" ht="20.25" hidden="1" customHeight="1" outlineLevel="1" x14ac:dyDescent="0.3">
      <c r="A117" s="69"/>
      <c r="B117" s="123" t="s">
        <v>95</v>
      </c>
      <c r="C117" s="22"/>
      <c r="D117" s="134"/>
      <c r="E117" s="137">
        <v>1500</v>
      </c>
      <c r="F117" s="127"/>
      <c r="G117" s="138">
        <v>1500</v>
      </c>
      <c r="H117" s="127"/>
      <c r="I117" s="129">
        <f t="shared" si="18"/>
        <v>1530</v>
      </c>
      <c r="J117" s="130"/>
      <c r="K117" s="131">
        <f>I117*(1+$C$51)</f>
        <v>1560.6000000000001</v>
      </c>
      <c r="L117" s="132"/>
      <c r="M117" s="2"/>
      <c r="N117" s="2"/>
    </row>
    <row r="118" spans="1:14" ht="20.25" hidden="1" customHeight="1" outlineLevel="1" x14ac:dyDescent="0.3">
      <c r="A118" s="69"/>
      <c r="B118" s="123" t="s">
        <v>96</v>
      </c>
      <c r="C118" s="22"/>
      <c r="D118" s="134"/>
      <c r="E118" s="137">
        <v>750</v>
      </c>
      <c r="F118" s="127"/>
      <c r="G118" s="138">
        <v>750</v>
      </c>
      <c r="H118" s="127"/>
      <c r="I118" s="129">
        <f t="shared" si="18"/>
        <v>765</v>
      </c>
      <c r="J118" s="130"/>
      <c r="K118" s="131">
        <f>I118*(1+$C$51)</f>
        <v>780.30000000000007</v>
      </c>
      <c r="L118" s="132"/>
      <c r="M118" s="2"/>
      <c r="N118" s="2"/>
    </row>
    <row r="119" spans="1:14" ht="20.25" hidden="1" customHeight="1" outlineLevel="1" x14ac:dyDescent="0.3">
      <c r="A119" s="69"/>
      <c r="B119" s="123" t="s">
        <v>97</v>
      </c>
      <c r="C119" s="22"/>
      <c r="D119" s="134"/>
      <c r="E119" s="137">
        <v>2500</v>
      </c>
      <c r="F119" s="127"/>
      <c r="G119" s="138">
        <v>2500</v>
      </c>
      <c r="H119" s="127"/>
      <c r="I119" s="129">
        <f t="shared" si="18"/>
        <v>2550</v>
      </c>
      <c r="J119" s="130"/>
      <c r="K119" s="131">
        <f>I119*(1+$C$51)</f>
        <v>2601</v>
      </c>
      <c r="L119" s="132"/>
      <c r="M119" s="2"/>
      <c r="N119" s="2"/>
    </row>
    <row r="120" spans="1:14" ht="20.25" hidden="1" customHeight="1" outlineLevel="1" x14ac:dyDescent="0.3">
      <c r="A120" s="69"/>
      <c r="B120" s="124" t="s">
        <v>74</v>
      </c>
      <c r="C120" s="22"/>
      <c r="D120" s="134"/>
      <c r="E120" s="137">
        <v>0</v>
      </c>
      <c r="F120" s="127"/>
      <c r="G120" s="138">
        <v>0</v>
      </c>
      <c r="H120" s="127"/>
      <c r="I120" s="129">
        <f t="shared" si="18"/>
        <v>0</v>
      </c>
      <c r="J120" s="130"/>
      <c r="K120" s="131">
        <f>I120*(1+$C$51)</f>
        <v>0</v>
      </c>
      <c r="L120" s="132"/>
      <c r="M120" s="2"/>
      <c r="N120" s="2"/>
    </row>
    <row r="121" spans="1:14" ht="20.25" customHeight="1" collapsed="1" x14ac:dyDescent="0.25">
      <c r="A121" s="69" t="s">
        <v>98</v>
      </c>
      <c r="B121" s="144"/>
      <c r="C121" s="22"/>
      <c r="D121" s="134"/>
      <c r="E121" s="135">
        <f>SUM(E116:E120)</f>
        <v>5950</v>
      </c>
      <c r="F121" s="127">
        <f>E121/$E$87</f>
        <v>2.4473271444611557E-2</v>
      </c>
      <c r="G121" s="135">
        <f>SUM(G116:G120)</f>
        <v>5950</v>
      </c>
      <c r="H121" s="127">
        <f>G121/$G$87</f>
        <v>2.4473261378380146E-2</v>
      </c>
      <c r="I121" s="135">
        <f>SUM(I116:I120)</f>
        <v>6069</v>
      </c>
      <c r="J121" s="130">
        <f>I121/$I$87</f>
        <v>2.3098549551757518E-2</v>
      </c>
      <c r="K121" s="136">
        <f>SUM(K116:K120)</f>
        <v>6190.38</v>
      </c>
      <c r="L121" s="132">
        <f>K121/$K$87</f>
        <v>2.2891055460449703E-2</v>
      </c>
      <c r="M121" s="2"/>
      <c r="N121" s="2"/>
    </row>
    <row r="122" spans="1:14" ht="20.25" hidden="1" customHeight="1" outlineLevel="1" x14ac:dyDescent="0.3">
      <c r="A122" s="69"/>
      <c r="B122" s="123" t="s">
        <v>99</v>
      </c>
      <c r="C122" s="22"/>
      <c r="D122" s="134"/>
      <c r="E122" s="137">
        <v>7500</v>
      </c>
      <c r="F122" s="127"/>
      <c r="G122" s="138">
        <v>7500</v>
      </c>
      <c r="H122" s="127"/>
      <c r="I122" s="129">
        <f t="shared" si="18"/>
        <v>7650</v>
      </c>
      <c r="J122" s="130"/>
      <c r="K122" s="131">
        <f>I122*(1+$C$51)</f>
        <v>7803</v>
      </c>
      <c r="L122" s="132"/>
      <c r="M122" s="2"/>
      <c r="N122" s="2"/>
    </row>
    <row r="123" spans="1:14" ht="20.25" hidden="1" customHeight="1" outlineLevel="1" x14ac:dyDescent="0.3">
      <c r="A123" s="69"/>
      <c r="B123" s="123" t="s">
        <v>100</v>
      </c>
      <c r="C123" s="22"/>
      <c r="D123" s="134"/>
      <c r="E123" s="137">
        <v>750</v>
      </c>
      <c r="F123" s="127"/>
      <c r="G123" s="138">
        <v>750</v>
      </c>
      <c r="H123" s="127"/>
      <c r="I123" s="129">
        <f t="shared" si="18"/>
        <v>765</v>
      </c>
      <c r="J123" s="130"/>
      <c r="K123" s="131">
        <f>I123*(1+$C$51)</f>
        <v>780.30000000000007</v>
      </c>
      <c r="L123" s="132"/>
      <c r="M123" s="2"/>
      <c r="N123" s="2"/>
    </row>
    <row r="124" spans="1:14" ht="20.25" hidden="1" customHeight="1" outlineLevel="1" x14ac:dyDescent="0.3">
      <c r="A124" s="69"/>
      <c r="B124" s="123" t="s">
        <v>101</v>
      </c>
      <c r="C124" s="22"/>
      <c r="D124" s="134"/>
      <c r="E124" s="137">
        <v>15000</v>
      </c>
      <c r="F124" s="127"/>
      <c r="G124" s="138">
        <v>15000</v>
      </c>
      <c r="H124" s="127"/>
      <c r="I124" s="129">
        <f t="shared" si="18"/>
        <v>15300</v>
      </c>
      <c r="J124" s="130"/>
      <c r="K124" s="131">
        <f>I124*(1+$C$51)</f>
        <v>15606</v>
      </c>
      <c r="L124" s="132"/>
      <c r="M124" s="2"/>
      <c r="N124" s="2"/>
    </row>
    <row r="125" spans="1:14" ht="20.25" hidden="1" customHeight="1" outlineLevel="1" x14ac:dyDescent="0.3">
      <c r="A125" s="69"/>
      <c r="B125" s="144" t="s">
        <v>74</v>
      </c>
      <c r="C125" s="22"/>
      <c r="D125" s="134"/>
      <c r="E125" s="137">
        <v>0</v>
      </c>
      <c r="F125" s="127"/>
      <c r="G125" s="138">
        <v>0</v>
      </c>
      <c r="H125" s="127"/>
      <c r="I125" s="129">
        <f t="shared" si="18"/>
        <v>0</v>
      </c>
      <c r="J125" s="130"/>
      <c r="K125" s="131">
        <f>I125*(1+$C$51)</f>
        <v>0</v>
      </c>
      <c r="L125" s="132"/>
      <c r="M125" s="2"/>
      <c r="N125" s="2"/>
    </row>
    <row r="126" spans="1:14" ht="20.25" customHeight="1" collapsed="1" x14ac:dyDescent="0.25">
      <c r="A126" s="69" t="s">
        <v>102</v>
      </c>
      <c r="B126" s="144"/>
      <c r="C126" s="22"/>
      <c r="D126" s="70"/>
      <c r="E126" s="135">
        <f>SUM(E122:E125)</f>
        <v>23250</v>
      </c>
      <c r="F126" s="127">
        <f>E126/$E$87</f>
        <v>9.5630850602893905E-2</v>
      </c>
      <c r="G126" s="135">
        <f>SUM(G122:G125)</f>
        <v>23250</v>
      </c>
      <c r="H126" s="127">
        <f>G126/$G$87</f>
        <v>9.5630811268460236E-2</v>
      </c>
      <c r="I126" s="135">
        <f>SUM(I122:I125)</f>
        <v>23715</v>
      </c>
      <c r="J126" s="130">
        <f>I126/$I$87</f>
        <v>9.0259038164430636E-2</v>
      </c>
      <c r="K126" s="136">
        <f>SUM(K122:K125)</f>
        <v>24189.3</v>
      </c>
      <c r="L126" s="132">
        <f>K126/$K$87</f>
        <v>8.9448241925286651E-2</v>
      </c>
      <c r="M126" s="2"/>
      <c r="N126" s="2"/>
    </row>
    <row r="127" spans="1:14" ht="20.25" customHeight="1" x14ac:dyDescent="0.25">
      <c r="A127" s="69" t="s">
        <v>103</v>
      </c>
      <c r="B127" s="144"/>
      <c r="C127" s="145"/>
      <c r="D127" s="70"/>
      <c r="E127" s="135">
        <v>15000</v>
      </c>
      <c r="F127" s="127">
        <f>E127/$E$87</f>
        <v>6.1697322969608968E-2</v>
      </c>
      <c r="G127" s="135">
        <v>15000</v>
      </c>
      <c r="H127" s="127">
        <f>G127/$G$87</f>
        <v>6.1697297592554989E-2</v>
      </c>
      <c r="I127" s="136">
        <f>G127*(1+$C$50)</f>
        <v>15300</v>
      </c>
      <c r="J127" s="130">
        <f>I127/$I$87</f>
        <v>5.8231637525439126E-2</v>
      </c>
      <c r="K127" s="131">
        <f>I127*(1+$C$51)</f>
        <v>15606</v>
      </c>
      <c r="L127" s="132">
        <f>K127/$K$87</f>
        <v>5.7708543177604293E-2</v>
      </c>
      <c r="M127" s="2"/>
      <c r="N127" s="2"/>
    </row>
    <row r="128" spans="1:14" x14ac:dyDescent="0.25">
      <c r="A128" s="69"/>
      <c r="B128" s="146"/>
      <c r="C128" s="22"/>
      <c r="D128" s="134"/>
      <c r="E128" s="135"/>
      <c r="F128" s="127"/>
      <c r="G128" s="135"/>
      <c r="H128" s="127"/>
      <c r="I128" s="136"/>
      <c r="J128" s="147"/>
      <c r="K128" s="131"/>
      <c r="L128" s="148"/>
      <c r="M128" s="2"/>
      <c r="N128" s="2"/>
    </row>
    <row r="129" spans="1:14" ht="16.5" x14ac:dyDescent="0.3">
      <c r="A129" s="61" t="s">
        <v>104</v>
      </c>
      <c r="B129" s="149"/>
      <c r="C129" s="133"/>
      <c r="D129" s="150"/>
      <c r="E129" s="64">
        <f>E93+E96+E99+E105+E107+E112+E115+E121+E126+E127</f>
        <v>106557</v>
      </c>
      <c r="F129" s="151">
        <f>E129/E87</f>
        <v>0.43828544291150817</v>
      </c>
      <c r="G129" s="64">
        <f>G93+G96+G99+G105+G107+G112+G115+G121+G126+G127</f>
        <v>106557</v>
      </c>
      <c r="H129" s="151">
        <f>G129/G87</f>
        <v>0.43828526263799217</v>
      </c>
      <c r="I129" s="64">
        <f>I93+I96+I99+I105+I107+I112+I115+I121+I126+I127</f>
        <v>108688.14</v>
      </c>
      <c r="J129" s="152">
        <f>I129/I87</f>
        <v>0.41366590665321445</v>
      </c>
      <c r="K129" s="153">
        <f>K93+K96+K99+K105+K107+K112+K115+K121+K126+K127</f>
        <v>110861.9028</v>
      </c>
      <c r="L129" s="154">
        <f>K129/K87</f>
        <v>0.40994994902506537</v>
      </c>
      <c r="M129" s="155"/>
      <c r="N129" s="2"/>
    </row>
    <row r="130" spans="1:14" ht="6" customHeight="1" x14ac:dyDescent="0.25">
      <c r="A130" s="69"/>
      <c r="B130" s="156"/>
      <c r="C130" s="133"/>
      <c r="D130" s="150"/>
      <c r="E130" s="135"/>
      <c r="F130" s="157"/>
      <c r="G130" s="135"/>
      <c r="H130" s="157"/>
      <c r="I130" s="136"/>
      <c r="J130" s="147"/>
      <c r="K130" s="131"/>
      <c r="L130" s="148"/>
      <c r="M130" s="155"/>
      <c r="N130" s="2"/>
    </row>
    <row r="131" spans="1:14" x14ac:dyDescent="0.25">
      <c r="A131" s="69"/>
      <c r="B131" s="156"/>
      <c r="C131" s="133"/>
      <c r="D131" s="158" t="str">
        <f>IF(C4="R","Expenses Per Unit:","")</f>
        <v>Expenses Per Unit:</v>
      </c>
      <c r="E131" s="135">
        <f>IF($C$4="R",E129/$A$77,"")</f>
        <v>6268.0588235294117</v>
      </c>
      <c r="F131" s="157"/>
      <c r="G131" s="135">
        <f>IF($C$4="R",G129/$A$77,"")</f>
        <v>6268.0588235294117</v>
      </c>
      <c r="H131" s="157"/>
      <c r="I131" s="136">
        <f>IF($C$4="R",I129/$A$77,"")</f>
        <v>6393.42</v>
      </c>
      <c r="J131" s="147"/>
      <c r="K131" s="131">
        <f>IF($C$4="R",K129/$A$77,"")</f>
        <v>6521.2883999999995</v>
      </c>
      <c r="L131" s="148"/>
      <c r="M131" s="155"/>
      <c r="N131" s="2"/>
    </row>
    <row r="132" spans="1:14" x14ac:dyDescent="0.25">
      <c r="A132" s="69"/>
      <c r="B132" s="22"/>
      <c r="C132" s="133"/>
      <c r="D132" s="159" t="s">
        <v>105</v>
      </c>
      <c r="E132" s="160">
        <f>IF($C$4="R",(E129/$D$77)/12,E129/$D$77)</f>
        <v>0.60866063472479259</v>
      </c>
      <c r="F132" s="161"/>
      <c r="G132" s="160">
        <f>IF($C$4="R",(G129/$D$77)/12,G129/$D$77)</f>
        <v>0.60866063472479259</v>
      </c>
      <c r="H132" s="161"/>
      <c r="I132" s="162">
        <f>IF($C$4="R",(I129/$D$77)/12,I129/$D$77)</f>
        <v>0.62083384741928849</v>
      </c>
      <c r="J132" s="163"/>
      <c r="K132" s="164">
        <f>IF($C$4="R",(K129/$D$77)/12,K129/$D$77)</f>
        <v>0.63325052436767426</v>
      </c>
      <c r="L132" s="148"/>
      <c r="M132" s="155"/>
      <c r="N132" s="2"/>
    </row>
    <row r="133" spans="1:14" x14ac:dyDescent="0.25">
      <c r="A133" s="69"/>
      <c r="B133" s="22"/>
      <c r="C133" s="22"/>
      <c r="D133" s="70"/>
      <c r="E133" s="160"/>
      <c r="F133" s="165"/>
      <c r="G133" s="160"/>
      <c r="H133" s="165"/>
      <c r="I133" s="166"/>
      <c r="J133" s="147"/>
      <c r="K133" s="164"/>
      <c r="L133" s="148"/>
      <c r="M133" s="155"/>
      <c r="N133" s="2"/>
    </row>
    <row r="134" spans="1:14" s="29" customFormat="1" ht="17.25" thickBot="1" x14ac:dyDescent="0.35">
      <c r="A134" s="167" t="s">
        <v>106</v>
      </c>
      <c r="B134" s="168"/>
      <c r="C134" s="168"/>
      <c r="D134" s="169"/>
      <c r="E134" s="170">
        <f>E87-E129</f>
        <v>136565.38</v>
      </c>
      <c r="F134" s="171"/>
      <c r="G134" s="170">
        <f>G87-G129</f>
        <v>136565.48000000001</v>
      </c>
      <c r="H134" s="171"/>
      <c r="I134" s="172">
        <f>I87-I129</f>
        <v>154055.63039999997</v>
      </c>
      <c r="J134" s="173"/>
      <c r="K134" s="172">
        <f>K87-K129</f>
        <v>159565.99471200001</v>
      </c>
      <c r="L134" s="173"/>
      <c r="M134" s="174"/>
      <c r="N134" s="175"/>
    </row>
    <row r="135" spans="1:14" s="29" customFormat="1" ht="33.75" customHeight="1" thickTop="1" x14ac:dyDescent="0.3">
      <c r="A135" s="176" t="s">
        <v>107</v>
      </c>
      <c r="B135" s="177"/>
      <c r="C135" s="177"/>
      <c r="D135" s="178" t="s">
        <v>108</v>
      </c>
      <c r="E135" s="179" t="s">
        <v>109</v>
      </c>
      <c r="F135" s="180" t="s">
        <v>110</v>
      </c>
      <c r="G135" s="179" t="s">
        <v>109</v>
      </c>
      <c r="H135" s="180" t="s">
        <v>110</v>
      </c>
      <c r="I135" s="179" t="s">
        <v>109</v>
      </c>
      <c r="J135" s="180" t="s">
        <v>110</v>
      </c>
      <c r="K135" s="179" t="s">
        <v>109</v>
      </c>
      <c r="L135" s="180" t="s">
        <v>110</v>
      </c>
      <c r="M135" s="174"/>
      <c r="N135" s="175"/>
    </row>
    <row r="136" spans="1:14" s="4" customFormat="1" ht="16.5" x14ac:dyDescent="0.3">
      <c r="A136" s="181"/>
      <c r="B136" s="182"/>
      <c r="C136" s="183"/>
      <c r="D136" s="184">
        <f>B141</f>
        <v>2955100</v>
      </c>
      <c r="E136" s="185">
        <f>E134-I146</f>
        <v>-172.43971504279762</v>
      </c>
      <c r="F136" s="285">
        <f>E136/C146</f>
        <v>-2.3341303514980559E-4</v>
      </c>
      <c r="G136" s="185">
        <f>G134-I146</f>
        <v>-172.33971504279179</v>
      </c>
      <c r="H136" s="186">
        <f>G136/C146</f>
        <v>-2.3327767594029549E-4</v>
      </c>
      <c r="I136" s="187">
        <f>I134-I146</f>
        <v>17317.810684957163</v>
      </c>
      <c r="J136" s="188">
        <f>I136/C146</f>
        <v>2.3441251646248402E-2</v>
      </c>
      <c r="K136" s="189">
        <f>K134-I146</f>
        <v>22828.174996957212</v>
      </c>
      <c r="L136" s="190">
        <f>K136/C146</f>
        <v>3.0900037219663921E-2</v>
      </c>
      <c r="M136" s="155"/>
      <c r="N136" s="11"/>
    </row>
    <row r="137" spans="1:14" s="4" customFormat="1" ht="19.5" customHeight="1" x14ac:dyDescent="0.3">
      <c r="A137" s="181"/>
      <c r="B137" s="182"/>
      <c r="C137" s="183"/>
      <c r="D137" s="184">
        <f>B142</f>
        <v>2805100</v>
      </c>
      <c r="E137" s="185">
        <f>E134-I147</f>
        <v>6768.3314795889892</v>
      </c>
      <c r="F137" s="286">
        <f>E137/C147</f>
        <v>9.6514655157947868E-3</v>
      </c>
      <c r="G137" s="185">
        <f>G134-I147</f>
        <v>6768.431479588995</v>
      </c>
      <c r="H137" s="191">
        <f>G137/C147</f>
        <v>9.6516081132066514E-3</v>
      </c>
      <c r="I137" s="192">
        <f>I134-I147</f>
        <v>24258.58187958895</v>
      </c>
      <c r="J137" s="193">
        <f>I137/C147</f>
        <v>3.4592109913498911E-2</v>
      </c>
      <c r="K137" s="189">
        <f>K134-I147</f>
        <v>29768.946191588999</v>
      </c>
      <c r="L137" s="190">
        <f>K137/C147</f>
        <v>4.2449746806301376E-2</v>
      </c>
      <c r="M137" s="155"/>
      <c r="N137" s="11"/>
    </row>
    <row r="138" spans="1:14" s="4" customFormat="1" ht="19.5" customHeight="1" thickBot="1" x14ac:dyDescent="0.35">
      <c r="A138" s="194"/>
      <c r="B138" s="195"/>
      <c r="C138" s="196"/>
      <c r="D138" s="197">
        <f>B143</f>
        <v>2755100</v>
      </c>
      <c r="E138" s="198">
        <f>E134-I148</f>
        <v>9081.9218777995702</v>
      </c>
      <c r="F138" s="287">
        <f>E138/C148</f>
        <v>1.3185614863779276E-2</v>
      </c>
      <c r="G138" s="198">
        <f>G134-I148</f>
        <v>9082.021877799576</v>
      </c>
      <c r="H138" s="199">
        <f>G138/C148</f>
        <v>1.3185760049072013E-2</v>
      </c>
      <c r="I138" s="200">
        <f>I134-I148</f>
        <v>26572.172277799531</v>
      </c>
      <c r="J138" s="201">
        <f>I138/C148</f>
        <v>3.8578886106202359E-2</v>
      </c>
      <c r="K138" s="202">
        <f>K134-I148</f>
        <v>32082.53658979958</v>
      </c>
      <c r="L138" s="203">
        <f>K138/C148</f>
        <v>4.657912466306062E-2</v>
      </c>
      <c r="M138" s="155"/>
      <c r="N138" s="11"/>
    </row>
    <row r="139" spans="1:14" ht="17.25" thickBot="1" x14ac:dyDescent="0.35">
      <c r="A139" s="204"/>
      <c r="B139" s="22"/>
      <c r="C139" s="22"/>
      <c r="D139" s="22"/>
      <c r="E139" s="17"/>
      <c r="F139" s="17"/>
      <c r="G139" s="17"/>
      <c r="H139" s="17"/>
      <c r="I139" s="205"/>
      <c r="J139" s="206"/>
      <c r="K139" s="206"/>
      <c r="L139" s="148"/>
      <c r="M139" s="2"/>
    </row>
    <row r="140" spans="1:14" ht="24.75" customHeight="1" x14ac:dyDescent="0.3">
      <c r="A140" s="207" t="s">
        <v>111</v>
      </c>
      <c r="B140" s="208" t="s">
        <v>108</v>
      </c>
      <c r="C140" s="209" t="str">
        <f>IF(C4="R","Cost/Unit","")</f>
        <v>Cost/Unit</v>
      </c>
      <c r="D140" s="209" t="s">
        <v>112</v>
      </c>
      <c r="E140" s="209" t="s">
        <v>113</v>
      </c>
      <c r="F140" s="208" t="s">
        <v>114</v>
      </c>
      <c r="G140" s="209" t="s">
        <v>113</v>
      </c>
      <c r="H140" s="210" t="s">
        <v>114</v>
      </c>
      <c r="I140" s="208"/>
      <c r="J140" s="208" t="s">
        <v>114</v>
      </c>
      <c r="K140" s="209"/>
      <c r="L140" s="211" t="s">
        <v>114</v>
      </c>
      <c r="M140" s="2"/>
    </row>
    <row r="141" spans="1:14" s="118" customFormat="1" ht="21" customHeight="1" x14ac:dyDescent="0.25">
      <c r="A141" s="212" t="str">
        <f>C10</f>
        <v>Scenario 1</v>
      </c>
      <c r="B141" s="213">
        <f>C43</f>
        <v>2955100</v>
      </c>
      <c r="C141" s="213">
        <f>IF($C$4="R",B141/$A$77,"")</f>
        <v>173829.41176470587</v>
      </c>
      <c r="D141" s="214">
        <f>B141/D77</f>
        <v>202.55672081705396</v>
      </c>
      <c r="E141" s="215">
        <f>B141/$E$87</f>
        <v>12.154783940499431</v>
      </c>
      <c r="F141" s="283">
        <f>$E$134/B141</f>
        <v>4.6213454705424518E-2</v>
      </c>
      <c r="G141" s="215">
        <f>B141/$G$87</f>
        <v>12.154778941050617</v>
      </c>
      <c r="H141" s="217">
        <f>G134/B141</f>
        <v>4.6213488545226902E-2</v>
      </c>
      <c r="I141" s="214"/>
      <c r="J141" s="217">
        <f>I134/B141</f>
        <v>5.2132120875774075E-2</v>
      </c>
      <c r="K141" s="214"/>
      <c r="L141" s="218">
        <f>K134/B141</f>
        <v>5.3996817269127952E-2</v>
      </c>
      <c r="M141" s="117"/>
    </row>
    <row r="142" spans="1:14" ht="21" customHeight="1" x14ac:dyDescent="0.25">
      <c r="A142" s="212" t="str">
        <f>E10</f>
        <v>Scenario 2</v>
      </c>
      <c r="B142" s="219">
        <f>E43</f>
        <v>2805100</v>
      </c>
      <c r="C142" s="220">
        <f>IF($C$4="R",B142/$A$77,"")</f>
        <v>165005.88235294117</v>
      </c>
      <c r="D142" s="221">
        <f>B142/D77</f>
        <v>192.27500171361984</v>
      </c>
      <c r="E142" s="215">
        <f>B142/$E$87</f>
        <v>11.53781071080334</v>
      </c>
      <c r="F142" s="283">
        <f>$E$134/B142</f>
        <v>4.8684674343160671E-2</v>
      </c>
      <c r="G142" s="215">
        <f>B142/$G$87</f>
        <v>11.537805965125067</v>
      </c>
      <c r="H142" s="222">
        <f>G134/B142</f>
        <v>4.868470999251364E-2</v>
      </c>
      <c r="I142" s="223"/>
      <c r="J142" s="224">
        <f>I134/B142</f>
        <v>5.4919835442586704E-2</v>
      </c>
      <c r="K142" s="221"/>
      <c r="L142" s="130">
        <f>K134/B142</f>
        <v>5.6884244665787322E-2</v>
      </c>
      <c r="M142" s="2"/>
    </row>
    <row r="143" spans="1:14" ht="21" customHeight="1" thickBot="1" x14ac:dyDescent="0.3">
      <c r="A143" s="225" t="str">
        <f>G10</f>
        <v>Scenario 3</v>
      </c>
      <c r="B143" s="226">
        <f>G43</f>
        <v>2755100</v>
      </c>
      <c r="C143" s="227">
        <f>IF($C$4="R",B143/$A$77,"")</f>
        <v>162064.70588235295</v>
      </c>
      <c r="D143" s="228">
        <f>B143/D77</f>
        <v>188.84776201247516</v>
      </c>
      <c r="E143" s="229">
        <f>B143/$E$87</f>
        <v>11.332152967571311</v>
      </c>
      <c r="F143" s="284">
        <f>$E$134/B143</f>
        <v>4.95682116801568E-2</v>
      </c>
      <c r="G143" s="231">
        <f>B143/$G$87</f>
        <v>11.332148306483218</v>
      </c>
      <c r="H143" s="232">
        <f>G134/B143</f>
        <v>4.9568247976479983E-2</v>
      </c>
      <c r="I143" s="233"/>
      <c r="J143" s="234">
        <f>I134/B143</f>
        <v>5.5916529490762576E-2</v>
      </c>
      <c r="K143" s="228"/>
      <c r="L143" s="235">
        <f>K134/B143</f>
        <v>5.7916589129977138E-2</v>
      </c>
      <c r="M143" s="2"/>
    </row>
    <row r="144" spans="1:14" ht="16.5" thickBot="1" x14ac:dyDescent="0.3">
      <c r="A144" s="2"/>
      <c r="B144" s="2"/>
      <c r="C144" s="2"/>
      <c r="D144" s="2"/>
    </row>
    <row r="145" spans="1:13" ht="49.5" x14ac:dyDescent="0.3">
      <c r="A145" s="236" t="s">
        <v>108</v>
      </c>
      <c r="B145" s="237" t="s">
        <v>115</v>
      </c>
      <c r="C145" s="237" t="s">
        <v>116</v>
      </c>
      <c r="D145" s="237" t="s">
        <v>117</v>
      </c>
      <c r="E145" s="237" t="s">
        <v>118</v>
      </c>
      <c r="F145" s="237" t="s">
        <v>119</v>
      </c>
      <c r="G145" s="237" t="s">
        <v>120</v>
      </c>
      <c r="H145" s="237" t="s">
        <v>121</v>
      </c>
      <c r="I145" s="238" t="s">
        <v>122</v>
      </c>
      <c r="J145" s="239" t="s">
        <v>123</v>
      </c>
      <c r="M145" s="3"/>
    </row>
    <row r="146" spans="1:13" ht="21" customHeight="1" x14ac:dyDescent="0.3">
      <c r="A146" s="240">
        <f>B141</f>
        <v>2955100</v>
      </c>
      <c r="B146" s="241">
        <f>A146-C146</f>
        <v>2216325</v>
      </c>
      <c r="C146" s="241">
        <f>A146*D146</f>
        <v>738775</v>
      </c>
      <c r="D146" s="242">
        <v>0.25</v>
      </c>
      <c r="E146" s="243">
        <f>B146/D158</f>
        <v>0.75</v>
      </c>
      <c r="F146" s="244">
        <v>3.7499999999999999E-2</v>
      </c>
      <c r="G146" s="245">
        <v>25</v>
      </c>
      <c r="H146" s="246">
        <f>-PMT(F146/12,G146*12,B146)</f>
        <v>11394.818309586901</v>
      </c>
      <c r="I146" s="246">
        <f>H146*12</f>
        <v>136737.8197150428</v>
      </c>
      <c r="J146" s="288">
        <f>G134/I146</f>
        <v>0.99873963388181897</v>
      </c>
      <c r="M146" s="3"/>
    </row>
    <row r="147" spans="1:13" ht="21" customHeight="1" x14ac:dyDescent="0.3">
      <c r="A147" s="240">
        <f>B142</f>
        <v>2805100</v>
      </c>
      <c r="B147" s="241">
        <f>A147-C147</f>
        <v>2103825</v>
      </c>
      <c r="C147" s="241">
        <f>A147*D147</f>
        <v>701275</v>
      </c>
      <c r="D147" s="242">
        <v>0.25</v>
      </c>
      <c r="E147" s="243">
        <f>B147/D159</f>
        <v>0.75</v>
      </c>
      <c r="F147" s="244">
        <v>3.7499999999999999E-2</v>
      </c>
      <c r="G147" s="245">
        <v>25</v>
      </c>
      <c r="H147" s="246">
        <f>-PMT(F147/12,G147*12,B147)</f>
        <v>10816.420710034252</v>
      </c>
      <c r="I147" s="246">
        <f>H147*12</f>
        <v>129797.04852041102</v>
      </c>
      <c r="J147" s="288">
        <f>I134/I147</f>
        <v>1.186896251926516</v>
      </c>
      <c r="M147" s="3"/>
    </row>
    <row r="148" spans="1:13" ht="21" customHeight="1" thickBot="1" x14ac:dyDescent="0.35">
      <c r="A148" s="248">
        <f>B143</f>
        <v>2755100</v>
      </c>
      <c r="B148" s="249">
        <f>A148-C148</f>
        <v>2066325</v>
      </c>
      <c r="C148" s="249">
        <f>A148*D148</f>
        <v>688775</v>
      </c>
      <c r="D148" s="250">
        <v>0.25</v>
      </c>
      <c r="E148" s="251">
        <f>B148/D160</f>
        <v>0.75</v>
      </c>
      <c r="F148" s="252">
        <v>3.7499999999999999E-2</v>
      </c>
      <c r="G148" s="253">
        <v>25</v>
      </c>
      <c r="H148" s="254">
        <f>-PMT(F148/12,G148*12,B148)</f>
        <v>10623.62151018337</v>
      </c>
      <c r="I148" s="254">
        <f>H148*12</f>
        <v>127483.45812220043</v>
      </c>
      <c r="J148" s="289">
        <f>K134/I148</f>
        <v>1.2516603884328787</v>
      </c>
      <c r="M148" s="3"/>
    </row>
    <row r="149" spans="1:13" ht="21" customHeight="1" x14ac:dyDescent="0.3">
      <c r="A149" s="241"/>
      <c r="B149" s="241"/>
      <c r="C149" s="241"/>
      <c r="D149" s="256"/>
      <c r="E149" s="257"/>
      <c r="F149" s="258"/>
      <c r="G149" s="8"/>
      <c r="H149" s="246"/>
      <c r="I149" s="246"/>
      <c r="J149" s="259"/>
      <c r="M149" s="3"/>
    </row>
    <row r="150" spans="1:13" ht="21.75" thickBot="1" x14ac:dyDescent="0.4">
      <c r="A150" s="260" t="s">
        <v>124</v>
      </c>
      <c r="B150" s="6"/>
      <c r="C150" s="6"/>
      <c r="D150" s="6"/>
    </row>
    <row r="151" spans="1:13" ht="16.5" x14ac:dyDescent="0.3">
      <c r="A151" s="261" t="s">
        <v>114</v>
      </c>
      <c r="B151" s="28" t="s">
        <v>125</v>
      </c>
      <c r="C151" s="262"/>
      <c r="D151" s="263"/>
      <c r="E151" s="263"/>
      <c r="F151" s="263"/>
      <c r="G151" s="263"/>
      <c r="H151" s="1"/>
      <c r="I151" s="1"/>
      <c r="J151" s="2"/>
      <c r="K151" s="3"/>
      <c r="M151" s="2"/>
    </row>
    <row r="152" spans="1:13" ht="16.5" x14ac:dyDescent="0.3">
      <c r="A152" s="264">
        <v>0.05</v>
      </c>
      <c r="B152" s="265">
        <f>$E$134/A152</f>
        <v>2731307.6</v>
      </c>
      <c r="C152" s="266"/>
      <c r="D152" s="267"/>
      <c r="E152" s="268"/>
      <c r="F152" s="267"/>
      <c r="G152" s="268"/>
      <c r="H152" s="1"/>
      <c r="I152" s="1"/>
      <c r="J152" s="2"/>
      <c r="K152" s="3"/>
      <c r="M152" s="2"/>
    </row>
    <row r="153" spans="1:13" ht="16.5" x14ac:dyDescent="0.3">
      <c r="A153" s="269">
        <v>6.5000000000000002E-2</v>
      </c>
      <c r="B153" s="265">
        <f>$E$134/A153</f>
        <v>2101005.846153846</v>
      </c>
      <c r="C153" s="266"/>
      <c r="D153" s="267"/>
      <c r="E153" s="268"/>
      <c r="F153" s="267"/>
      <c r="G153" s="268"/>
      <c r="H153" s="1"/>
      <c r="I153" s="1"/>
      <c r="J153" s="2"/>
      <c r="K153" s="3"/>
      <c r="M153" s="2"/>
    </row>
    <row r="154" spans="1:13" ht="17.25" thickBot="1" x14ac:dyDescent="0.35">
      <c r="A154" s="270">
        <v>0.08</v>
      </c>
      <c r="B154" s="271">
        <f>$E$134/A154</f>
        <v>1707067.25</v>
      </c>
      <c r="C154" s="266"/>
      <c r="D154" s="267"/>
      <c r="E154" s="268"/>
      <c r="F154" s="267"/>
      <c r="G154" s="268"/>
      <c r="H154" s="1"/>
      <c r="I154" s="1"/>
      <c r="J154" s="2"/>
      <c r="K154" s="3"/>
      <c r="M154" s="2"/>
    </row>
    <row r="155" spans="1:13" x14ac:dyDescent="0.25">
      <c r="A155" s="6"/>
      <c r="B155" s="6"/>
      <c r="C155" s="6"/>
      <c r="D155" s="6"/>
    </row>
    <row r="156" spans="1:13" ht="21.75" thickBot="1" x14ac:dyDescent="0.4">
      <c r="A156" s="260" t="s">
        <v>126</v>
      </c>
      <c r="B156" s="6"/>
      <c r="C156" s="6"/>
      <c r="D156" s="6"/>
    </row>
    <row r="157" spans="1:13" ht="33" x14ac:dyDescent="0.3">
      <c r="A157" s="261" t="s">
        <v>127</v>
      </c>
      <c r="B157" s="261" t="s">
        <v>128</v>
      </c>
      <c r="C157" s="261" t="s">
        <v>129</v>
      </c>
      <c r="D157" s="261" t="s">
        <v>130</v>
      </c>
      <c r="E157" s="261" t="s">
        <v>131</v>
      </c>
      <c r="F157" s="261" t="s">
        <v>132</v>
      </c>
      <c r="G157" s="261" t="s">
        <v>133</v>
      </c>
      <c r="H157" s="261" t="s">
        <v>114</v>
      </c>
      <c r="I157" s="28" t="s">
        <v>125</v>
      </c>
      <c r="J157" s="2"/>
      <c r="K157" s="3"/>
      <c r="M157" s="2"/>
    </row>
    <row r="158" spans="1:13" ht="16.5" x14ac:dyDescent="0.3">
      <c r="A158" s="212" t="str">
        <f>C10</f>
        <v>Scenario 1</v>
      </c>
      <c r="B158" s="240">
        <f>C25</f>
        <v>956000</v>
      </c>
      <c r="C158" s="272">
        <f>C43-C25</f>
        <v>1999100</v>
      </c>
      <c r="D158" s="241">
        <f>B158+C158</f>
        <v>2955100</v>
      </c>
      <c r="E158" s="273">
        <f>K136/D158</f>
        <v>7.7250093049159802E-3</v>
      </c>
      <c r="F158" s="241">
        <f>D158-B146</f>
        <v>738775</v>
      </c>
      <c r="G158" s="273">
        <f>K136/F158</f>
        <v>3.0900037219663921E-2</v>
      </c>
      <c r="H158" s="274">
        <v>0.06</v>
      </c>
      <c r="I158" s="134">
        <f>$K$134/H158</f>
        <v>2659433.2452000002</v>
      </c>
      <c r="J158" s="2"/>
      <c r="K158" s="3"/>
      <c r="M158" s="2"/>
    </row>
    <row r="159" spans="1:13" ht="16.5" x14ac:dyDescent="0.3">
      <c r="A159" s="212" t="str">
        <f>E10</f>
        <v>Scenario 2</v>
      </c>
      <c r="B159" s="240">
        <f>E25</f>
        <v>806000</v>
      </c>
      <c r="C159" s="219">
        <f>E43-E25</f>
        <v>1999100</v>
      </c>
      <c r="D159" s="241">
        <f>B159+C159</f>
        <v>2805100</v>
      </c>
      <c r="E159" s="275">
        <f>K137/D159</f>
        <v>1.0612436701575344E-2</v>
      </c>
      <c r="F159" s="241">
        <f>D159-B147</f>
        <v>701275</v>
      </c>
      <c r="G159" s="275">
        <f>K137/F159</f>
        <v>4.2449746806301376E-2</v>
      </c>
      <c r="H159" s="276">
        <v>6.5000000000000002E-2</v>
      </c>
      <c r="I159" s="134">
        <f>$K$134/H159</f>
        <v>2454861.4571076925</v>
      </c>
      <c r="J159" s="2"/>
      <c r="K159" s="3"/>
      <c r="M159" s="2"/>
    </row>
    <row r="160" spans="1:13" ht="17.25" thickBot="1" x14ac:dyDescent="0.35">
      <c r="A160" s="225" t="str">
        <f>G10</f>
        <v>Scenario 3</v>
      </c>
      <c r="B160" s="248">
        <f>G25</f>
        <v>756000</v>
      </c>
      <c r="C160" s="226">
        <f>G43-G25</f>
        <v>1999100</v>
      </c>
      <c r="D160" s="249">
        <f>B160+C160</f>
        <v>2755100</v>
      </c>
      <c r="E160" s="277">
        <f>K138/D160</f>
        <v>1.1644781165765155E-2</v>
      </c>
      <c r="F160" s="249">
        <f>D160-B148</f>
        <v>688775</v>
      </c>
      <c r="G160" s="277">
        <f>K138/F160</f>
        <v>4.657912466306062E-2</v>
      </c>
      <c r="H160" s="278">
        <v>7.0000000000000007E-2</v>
      </c>
      <c r="I160" s="279">
        <f>$K$134/H160</f>
        <v>2279514.2101714285</v>
      </c>
      <c r="J160" s="2"/>
      <c r="K160" s="3"/>
      <c r="M160" s="2"/>
    </row>
    <row r="162" spans="1:6" ht="16.5" hidden="1" x14ac:dyDescent="0.3">
      <c r="A162" s="280" t="s">
        <v>134</v>
      </c>
      <c r="C162" s="281" t="str">
        <f>C46*100&amp;"%"&amp;" and "&amp;C47*100&amp;"%" &amp;" , respectively."</f>
        <v>3% and 3% , respectively.</v>
      </c>
      <c r="E162" s="6"/>
      <c r="F162" s="1"/>
    </row>
    <row r="163" spans="1:6" ht="16.5" hidden="1" x14ac:dyDescent="0.3">
      <c r="A163" s="280" t="s">
        <v>135</v>
      </c>
      <c r="C163" s="281" t="str">
        <f>C50*100&amp;"%"&amp;" and "&amp;C51*100&amp;"%" &amp;" , respectively."</f>
        <v>2% and 2% , respectively.</v>
      </c>
    </row>
    <row r="164" spans="1:6" x14ac:dyDescent="0.25">
      <c r="A164" s="282" t="s">
        <v>136</v>
      </c>
      <c r="B164" s="6"/>
      <c r="C164" s="6"/>
      <c r="D164" s="6"/>
    </row>
    <row r="165" spans="1:6" x14ac:dyDescent="0.25">
      <c r="A165" s="282" t="s">
        <v>137</v>
      </c>
      <c r="B165" s="6"/>
      <c r="C165" s="6"/>
      <c r="D165" s="6"/>
    </row>
  </sheetData>
  <mergeCells count="10">
    <mergeCell ref="E88:F88"/>
    <mergeCell ref="G88:H88"/>
    <mergeCell ref="I88:J88"/>
    <mergeCell ref="K88:L88"/>
    <mergeCell ref="A54:J54"/>
    <mergeCell ref="E80:F80"/>
    <mergeCell ref="G80:H80"/>
    <mergeCell ref="I80:J80"/>
    <mergeCell ref="K80:L80"/>
    <mergeCell ref="C84:D84"/>
  </mergeCells>
  <printOptions horizontalCentered="1"/>
  <pageMargins left="0" right="0" top="0.18" bottom="0.21" header="0.18" footer="0.16"/>
  <pageSetup scale="45" fitToHeight="2" orientation="portrait" r:id="rId1"/>
  <headerFooter alignWithMargins="0">
    <oddHeader>&amp;C&amp;"Arial,Bold"&amp;14&amp;A</oddHeader>
  </headerFooter>
  <rowBreaks count="1" manualBreakCount="1">
    <brk id="52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opLeftCell="A9" zoomScale="110" zoomScaleNormal="110" workbookViewId="0">
      <selection activeCell="B52" sqref="B52"/>
    </sheetView>
  </sheetViews>
  <sheetFormatPr defaultRowHeight="15.75" x14ac:dyDescent="0.25"/>
  <cols>
    <col min="1" max="1" width="21.28515625" style="1" customWidth="1"/>
    <col min="2" max="2" width="21.7109375" style="1" bestFit="1" customWidth="1"/>
    <col min="3" max="3" width="17.28515625" style="1" customWidth="1"/>
    <col min="4" max="4" width="15.7109375" style="1" customWidth="1"/>
    <col min="5" max="5" width="17.7109375" style="2" customWidth="1"/>
    <col min="6" max="6" width="13.140625" style="2" bestFit="1" customWidth="1"/>
    <col min="7" max="7" width="17.7109375" style="2" customWidth="1"/>
    <col min="8" max="8" width="19.42578125" style="2" hidden="1" customWidth="1"/>
    <col min="9" max="9" width="11.5703125" style="2" bestFit="1" customWidth="1"/>
    <col min="10" max="10" width="17.7109375" style="2" customWidth="1"/>
    <col min="11" max="11" width="10.140625" style="2" bestFit="1" customWidth="1"/>
    <col min="12" max="12" width="14.140625" style="2" customWidth="1"/>
    <col min="13" max="13" width="11" style="2" bestFit="1" customWidth="1"/>
    <col min="14" max="14" width="9.140625" style="1"/>
    <col min="15" max="15" width="15" style="1" customWidth="1"/>
    <col min="16" max="16384" width="9.140625" style="1"/>
  </cols>
  <sheetData>
    <row r="1" spans="1:15" x14ac:dyDescent="0.25">
      <c r="A1" s="489"/>
      <c r="B1" s="490"/>
      <c r="C1" s="490"/>
      <c r="D1" s="491"/>
    </row>
    <row r="2" spans="1:15" x14ac:dyDescent="0.25">
      <c r="A2" s="490"/>
      <c r="B2" s="490"/>
      <c r="C2" s="490"/>
      <c r="D2" s="491"/>
    </row>
    <row r="3" spans="1:15" x14ac:dyDescent="0.25">
      <c r="A3" s="491"/>
      <c r="B3" s="491"/>
      <c r="C3" s="491"/>
      <c r="D3" s="491"/>
    </row>
    <row r="4" spans="1:15" s="25" customFormat="1" ht="18.75" x14ac:dyDescent="0.3">
      <c r="A4" s="492" t="s">
        <v>183</v>
      </c>
      <c r="B4" s="492"/>
      <c r="C4" s="492"/>
      <c r="D4" s="492"/>
      <c r="E4" s="492"/>
      <c r="F4" s="492"/>
      <c r="G4" s="492"/>
      <c r="H4" s="492"/>
      <c r="I4" s="492"/>
      <c r="J4" s="492"/>
    </row>
    <row r="5" spans="1:15" s="290" customFormat="1" ht="18.75" x14ac:dyDescent="0.3">
      <c r="A5" s="493" t="s">
        <v>184</v>
      </c>
      <c r="B5" s="493"/>
      <c r="C5" s="493"/>
      <c r="D5" s="493"/>
      <c r="E5" s="493"/>
      <c r="F5" s="493"/>
      <c r="G5" s="493"/>
      <c r="H5" s="493"/>
      <c r="I5" s="493"/>
      <c r="J5" s="493"/>
    </row>
    <row r="6" spans="1:15" s="290" customFormat="1" ht="18.75" x14ac:dyDescent="0.3">
      <c r="A6" s="493"/>
      <c r="B6" s="493"/>
      <c r="C6" s="493"/>
      <c r="D6" s="493"/>
      <c r="E6" s="493"/>
      <c r="F6" s="493"/>
      <c r="G6" s="493"/>
      <c r="H6" s="493"/>
      <c r="I6" s="493"/>
      <c r="J6" s="493"/>
    </row>
    <row r="7" spans="1:15" ht="16.5" thickBot="1" x14ac:dyDescent="0.3"/>
    <row r="8" spans="1:15" s="29" customFormat="1" ht="25.5" customHeight="1" x14ac:dyDescent="0.3">
      <c r="A8" s="291" t="s">
        <v>138</v>
      </c>
      <c r="B8" s="291" t="s">
        <v>44</v>
      </c>
      <c r="C8" s="291" t="s">
        <v>139</v>
      </c>
      <c r="D8" s="291" t="s">
        <v>140</v>
      </c>
      <c r="E8" s="291" t="s">
        <v>141</v>
      </c>
      <c r="F8" s="291" t="s">
        <v>142</v>
      </c>
      <c r="G8" s="292" t="s">
        <v>143</v>
      </c>
      <c r="H8" s="293" t="s">
        <v>144</v>
      </c>
      <c r="I8" s="291" t="s">
        <v>142</v>
      </c>
      <c r="J8" s="291" t="s">
        <v>145</v>
      </c>
      <c r="K8" s="291" t="s">
        <v>142</v>
      </c>
      <c r="L8" s="175"/>
      <c r="M8" s="175"/>
    </row>
    <row r="9" spans="1:15" s="29" customFormat="1" ht="18" customHeight="1" x14ac:dyDescent="0.3">
      <c r="A9" s="294">
        <v>0</v>
      </c>
      <c r="B9" s="294">
        <v>0</v>
      </c>
      <c r="C9" s="294">
        <v>0</v>
      </c>
      <c r="D9" s="33">
        <f>C9*A9</f>
        <v>0</v>
      </c>
      <c r="E9" s="295">
        <v>0</v>
      </c>
      <c r="F9" s="296" t="e">
        <f>E9/C9</f>
        <v>#DIV/0!</v>
      </c>
      <c r="G9" s="297">
        <v>0</v>
      </c>
      <c r="H9" s="298"/>
      <c r="I9" s="296" t="e">
        <f>G9/C9</f>
        <v>#DIV/0!</v>
      </c>
      <c r="J9" s="299">
        <v>0</v>
      </c>
      <c r="K9" s="296" t="e">
        <f>J9/C9</f>
        <v>#DIV/0!</v>
      </c>
      <c r="L9" s="175"/>
      <c r="M9" s="175"/>
    </row>
    <row r="10" spans="1:15" s="29" customFormat="1" ht="17.25" thickBot="1" x14ac:dyDescent="0.35">
      <c r="A10" s="46">
        <f>SUM(A9:A9)</f>
        <v>0</v>
      </c>
      <c r="B10" s="300"/>
      <c r="C10" s="47" t="e">
        <f>D10/A10</f>
        <v>#DIV/0!</v>
      </c>
      <c r="D10" s="47">
        <f>SUM(D9:D9)</f>
        <v>0</v>
      </c>
      <c r="E10" s="301">
        <f>SUM(E9:E9)</f>
        <v>0</v>
      </c>
      <c r="F10" s="302" t="e">
        <f>E10/C10</f>
        <v>#DIV/0!</v>
      </c>
      <c r="G10" s="301">
        <f>SUM(G9)</f>
        <v>0</v>
      </c>
      <c r="H10" s="303" t="e">
        <f>E10/C10</f>
        <v>#DIV/0!</v>
      </c>
      <c r="I10" s="302" t="e">
        <f>G10/C10</f>
        <v>#DIV/0!</v>
      </c>
      <c r="J10" s="301">
        <f>SUM(J9:J9)</f>
        <v>0</v>
      </c>
      <c r="K10" s="302" t="e">
        <f>J10/C10</f>
        <v>#DIV/0!</v>
      </c>
      <c r="L10" s="175"/>
      <c r="M10" s="175"/>
    </row>
    <row r="11" spans="1:15" ht="15" customHeight="1" thickBot="1" x14ac:dyDescent="0.3">
      <c r="A11" s="22"/>
      <c r="B11" s="22"/>
      <c r="C11" s="22"/>
      <c r="D11" s="22"/>
      <c r="E11" s="17"/>
      <c r="F11" s="17"/>
      <c r="G11" s="17"/>
      <c r="H11" s="17"/>
      <c r="I11" s="17"/>
    </row>
    <row r="12" spans="1:15" s="29" customFormat="1" ht="42.75" customHeight="1" thickBot="1" x14ac:dyDescent="0.35">
      <c r="A12" s="56" t="s">
        <v>53</v>
      </c>
      <c r="B12" s="57"/>
      <c r="C12" s="58"/>
      <c r="D12" s="58"/>
      <c r="E12" s="304" t="s">
        <v>146</v>
      </c>
      <c r="F12" s="305"/>
      <c r="G12" s="306" t="s">
        <v>147</v>
      </c>
      <c r="H12" s="307" t="s">
        <v>148</v>
      </c>
      <c r="I12" s="308"/>
      <c r="J12" s="305" t="s">
        <v>149</v>
      </c>
      <c r="K12" s="59"/>
      <c r="L12" s="309"/>
      <c r="M12" s="60"/>
      <c r="N12" s="60"/>
      <c r="O12" s="60"/>
    </row>
    <row r="13" spans="1:15" ht="18.75" customHeight="1" x14ac:dyDescent="0.25">
      <c r="A13" s="69" t="s">
        <v>150</v>
      </c>
      <c r="B13" s="22"/>
      <c r="C13" s="22"/>
      <c r="D13" s="310"/>
      <c r="E13" s="311">
        <f>(E10*A10)*12</f>
        <v>0</v>
      </c>
      <c r="F13" s="311"/>
      <c r="G13" s="311">
        <f>(G10*A10)*12</f>
        <v>0</v>
      </c>
      <c r="H13" s="312">
        <v>0</v>
      </c>
      <c r="I13" s="313"/>
      <c r="J13" s="314">
        <f>(J10*A10)*12</f>
        <v>0</v>
      </c>
      <c r="K13" s="315"/>
      <c r="L13" s="1"/>
      <c r="N13" s="68"/>
      <c r="O13" s="2"/>
    </row>
    <row r="14" spans="1:15" ht="18" customHeight="1" x14ac:dyDescent="0.25">
      <c r="A14" s="69" t="s">
        <v>151</v>
      </c>
      <c r="B14" s="22"/>
      <c r="C14" s="22"/>
      <c r="D14" s="310"/>
      <c r="E14" s="316">
        <f>-E13*F14</f>
        <v>0</v>
      </c>
      <c r="F14" s="317">
        <v>0</v>
      </c>
      <c r="G14" s="316">
        <f>-G13*I14</f>
        <v>0</v>
      </c>
      <c r="H14" s="318">
        <v>-1</v>
      </c>
      <c r="I14" s="319">
        <v>0</v>
      </c>
      <c r="J14" s="320">
        <f>K14*-J13</f>
        <v>0</v>
      </c>
      <c r="K14" s="321">
        <v>0</v>
      </c>
      <c r="L14" s="1"/>
      <c r="N14" s="68"/>
      <c r="O14" s="2"/>
    </row>
    <row r="15" spans="1:15" ht="17.25" customHeight="1" x14ac:dyDescent="0.25">
      <c r="A15" s="69" t="s">
        <v>152</v>
      </c>
      <c r="B15" s="22"/>
      <c r="C15" s="133"/>
      <c r="D15" s="322"/>
      <c r="E15" s="311">
        <f>SUM(E13:E14)</f>
        <v>0</v>
      </c>
      <c r="F15" s="311"/>
      <c r="G15" s="323">
        <f>SUM(G13:G14)</f>
        <v>0</v>
      </c>
      <c r="H15" s="324">
        <f>SUM(H13:H14)</f>
        <v>-1</v>
      </c>
      <c r="I15" s="325"/>
      <c r="J15" s="326">
        <f>SUM(J13:J14)</f>
        <v>0</v>
      </c>
      <c r="K15" s="315"/>
      <c r="L15" s="1"/>
      <c r="N15" s="2"/>
      <c r="O15" s="2"/>
    </row>
    <row r="16" spans="1:15" s="93" customFormat="1" ht="19.5" customHeight="1" x14ac:dyDescent="0.2">
      <c r="A16" s="94" t="s">
        <v>64</v>
      </c>
      <c r="B16" s="100"/>
      <c r="C16" s="101"/>
      <c r="D16" s="327"/>
      <c r="E16" s="328">
        <v>0</v>
      </c>
      <c r="F16" s="328"/>
      <c r="G16" s="328">
        <v>0</v>
      </c>
      <c r="H16" s="329"/>
      <c r="I16" s="330"/>
      <c r="J16" s="331">
        <v>0</v>
      </c>
      <c r="K16" s="332"/>
      <c r="M16" s="92"/>
      <c r="N16" s="91"/>
      <c r="O16" s="92"/>
    </row>
    <row r="17" spans="1:15" s="118" customFormat="1" ht="16.5" x14ac:dyDescent="0.3">
      <c r="A17" s="109" t="s">
        <v>153</v>
      </c>
      <c r="B17" s="110"/>
      <c r="C17" s="111"/>
      <c r="D17" s="333"/>
      <c r="E17" s="334">
        <f>SUM(E15:E16)</f>
        <v>0</v>
      </c>
      <c r="F17" s="334"/>
      <c r="G17" s="335">
        <f>SUM(G15:G16)</f>
        <v>0</v>
      </c>
      <c r="H17" s="336">
        <f>SUM(H15:H15)</f>
        <v>-1</v>
      </c>
      <c r="I17" s="337"/>
      <c r="J17" s="19">
        <f>SUM(J15:J16)</f>
        <v>0</v>
      </c>
      <c r="K17" s="338"/>
      <c r="M17" s="117"/>
      <c r="N17" s="117"/>
      <c r="O17" s="117"/>
    </row>
    <row r="18" spans="1:15" x14ac:dyDescent="0.25">
      <c r="A18" s="69"/>
      <c r="B18" s="22"/>
      <c r="C18" s="133"/>
      <c r="D18" s="310"/>
      <c r="E18" s="339"/>
      <c r="F18" s="339"/>
      <c r="G18" s="323"/>
      <c r="H18" s="324"/>
      <c r="I18" s="325"/>
      <c r="J18" s="325"/>
      <c r="K18" s="315"/>
      <c r="L18" s="1"/>
      <c r="N18" s="2"/>
      <c r="O18" s="2"/>
    </row>
    <row r="19" spans="1:15" ht="16.5" x14ac:dyDescent="0.3">
      <c r="A19" s="204" t="s">
        <v>66</v>
      </c>
      <c r="B19" s="340"/>
      <c r="C19" s="341" t="s">
        <v>154</v>
      </c>
      <c r="D19" s="342"/>
      <c r="E19" s="342"/>
      <c r="F19" s="342"/>
      <c r="G19" s="342"/>
      <c r="H19" s="324"/>
      <c r="I19" s="325"/>
      <c r="J19" s="343"/>
      <c r="K19" s="315"/>
      <c r="L19" s="22"/>
      <c r="N19" s="2"/>
      <c r="O19" s="2"/>
    </row>
    <row r="20" spans="1:15" ht="20.25" customHeight="1" x14ac:dyDescent="0.25">
      <c r="A20" s="69" t="s">
        <v>155</v>
      </c>
      <c r="B20" s="22"/>
      <c r="C20" s="344">
        <f>E20/60</f>
        <v>0</v>
      </c>
      <c r="D20" s="314"/>
      <c r="E20" s="345">
        <v>0</v>
      </c>
      <c r="F20" s="462" t="e">
        <f>E20/$E$17</f>
        <v>#DIV/0!</v>
      </c>
      <c r="G20" s="346">
        <v>0</v>
      </c>
      <c r="H20" s="347">
        <v>0</v>
      </c>
      <c r="I20" s="463" t="e">
        <f>G20/$G$17</f>
        <v>#DIV/0!</v>
      </c>
      <c r="J20" s="348">
        <v>0</v>
      </c>
      <c r="K20" s="466" t="e">
        <f>J20/$J$17</f>
        <v>#DIV/0!</v>
      </c>
      <c r="L20" s="349"/>
      <c r="N20" s="2"/>
      <c r="O20" s="2"/>
    </row>
    <row r="21" spans="1:15" ht="20.25" customHeight="1" x14ac:dyDescent="0.25">
      <c r="A21" s="69" t="s">
        <v>156</v>
      </c>
      <c r="B21" s="133"/>
      <c r="C21" s="344">
        <f t="shared" ref="C21:C29" si="0">E21/60</f>
        <v>0</v>
      </c>
      <c r="D21" s="314"/>
      <c r="E21" s="350">
        <v>0</v>
      </c>
      <c r="F21" s="462" t="e">
        <f t="shared" ref="F21:F22" si="1">E21/$E$17</f>
        <v>#DIV/0!</v>
      </c>
      <c r="G21" s="346">
        <v>0</v>
      </c>
      <c r="H21" s="347">
        <v>0</v>
      </c>
      <c r="I21" s="463" t="e">
        <f t="shared" ref="I21:I22" si="2">G21/$G$17</f>
        <v>#DIV/0!</v>
      </c>
      <c r="J21" s="348">
        <v>0</v>
      </c>
      <c r="K21" s="466" t="e">
        <f t="shared" ref="K21:K22" si="3">J21/$J$17</f>
        <v>#DIV/0!</v>
      </c>
      <c r="L21" s="349"/>
      <c r="N21" s="2"/>
      <c r="O21" s="2"/>
    </row>
    <row r="22" spans="1:15" ht="20.25" customHeight="1" x14ac:dyDescent="0.25">
      <c r="A22" s="69" t="s">
        <v>157</v>
      </c>
      <c r="B22" s="22"/>
      <c r="C22" s="344">
        <f t="shared" si="0"/>
        <v>0</v>
      </c>
      <c r="D22" s="314"/>
      <c r="E22" s="350">
        <v>0</v>
      </c>
      <c r="F22" s="462" t="e">
        <f t="shared" si="1"/>
        <v>#DIV/0!</v>
      </c>
      <c r="G22" s="346">
        <v>0</v>
      </c>
      <c r="H22" s="347">
        <v>0</v>
      </c>
      <c r="I22" s="463" t="e">
        <f t="shared" si="2"/>
        <v>#DIV/0!</v>
      </c>
      <c r="J22" s="348">
        <v>0</v>
      </c>
      <c r="K22" s="466" t="e">
        <f t="shared" si="3"/>
        <v>#DIV/0!</v>
      </c>
      <c r="L22" s="349"/>
      <c r="N22" s="2"/>
      <c r="O22" s="2"/>
    </row>
    <row r="23" spans="1:15" ht="20.25" customHeight="1" x14ac:dyDescent="0.25">
      <c r="A23" s="69" t="s">
        <v>85</v>
      </c>
      <c r="B23" s="22"/>
      <c r="C23" s="344">
        <f t="shared" si="0"/>
        <v>0</v>
      </c>
      <c r="D23" s="314"/>
      <c r="E23" s="351">
        <f>E17*F23</f>
        <v>0</v>
      </c>
      <c r="F23" s="464">
        <v>0</v>
      </c>
      <c r="G23" s="351">
        <f>G17*I23</f>
        <v>0</v>
      </c>
      <c r="H23" s="352">
        <v>0</v>
      </c>
      <c r="I23" s="465">
        <v>0</v>
      </c>
      <c r="J23" s="351">
        <f>J17*K23</f>
        <v>0</v>
      </c>
      <c r="K23" s="467">
        <v>0.05</v>
      </c>
      <c r="L23" s="349"/>
      <c r="N23" s="2"/>
      <c r="O23" s="2"/>
    </row>
    <row r="24" spans="1:15" ht="20.25" customHeight="1" x14ac:dyDescent="0.25">
      <c r="A24" s="69" t="s">
        <v>24</v>
      </c>
      <c r="B24" s="22"/>
      <c r="C24" s="344">
        <f t="shared" si="0"/>
        <v>0</v>
      </c>
      <c r="D24" s="314"/>
      <c r="E24" s="353">
        <v>0</v>
      </c>
      <c r="F24" s="461" t="e">
        <f>E24/$E$17</f>
        <v>#DIV/0!</v>
      </c>
      <c r="G24" s="346">
        <v>0</v>
      </c>
      <c r="H24" s="347">
        <v>0</v>
      </c>
      <c r="I24" s="463" t="e">
        <f>G24/$G$17</f>
        <v>#DIV/0!</v>
      </c>
      <c r="J24" s="348">
        <v>0</v>
      </c>
      <c r="K24" s="466" t="e">
        <f>J24/$J$17</f>
        <v>#DIV/0!</v>
      </c>
      <c r="L24" s="349"/>
      <c r="N24" s="2"/>
      <c r="O24" s="2"/>
    </row>
    <row r="25" spans="1:15" ht="20.25" customHeight="1" x14ac:dyDescent="0.25">
      <c r="A25" s="69" t="s">
        <v>158</v>
      </c>
      <c r="B25" s="124"/>
      <c r="C25" s="344">
        <f t="shared" si="0"/>
        <v>0</v>
      </c>
      <c r="D25" s="314"/>
      <c r="E25" s="345">
        <v>0</v>
      </c>
      <c r="F25" s="461" t="e">
        <f t="shared" ref="F25:F30" si="4">E25/$E$17</f>
        <v>#DIV/0!</v>
      </c>
      <c r="G25" s="346">
        <v>0</v>
      </c>
      <c r="H25" s="347">
        <v>0</v>
      </c>
      <c r="I25" s="463" t="e">
        <f t="shared" ref="I25:I30" si="5">G25/$G$17</f>
        <v>#DIV/0!</v>
      </c>
      <c r="J25" s="348">
        <v>0</v>
      </c>
      <c r="K25" s="466" t="e">
        <f t="shared" ref="K25:K30" si="6">J25/$J$17</f>
        <v>#DIV/0!</v>
      </c>
      <c r="L25" s="349"/>
      <c r="N25" s="2"/>
      <c r="O25" s="2"/>
    </row>
    <row r="26" spans="1:15" ht="20.25" customHeight="1" x14ac:dyDescent="0.25">
      <c r="A26" s="69" t="s">
        <v>93</v>
      </c>
      <c r="B26" s="124"/>
      <c r="C26" s="344">
        <f t="shared" si="0"/>
        <v>0</v>
      </c>
      <c r="D26" s="314"/>
      <c r="E26" s="345">
        <v>0</v>
      </c>
      <c r="F26" s="461" t="e">
        <f t="shared" si="4"/>
        <v>#DIV/0!</v>
      </c>
      <c r="G26" s="346">
        <v>0</v>
      </c>
      <c r="H26" s="347">
        <v>0</v>
      </c>
      <c r="I26" s="463" t="e">
        <f t="shared" si="5"/>
        <v>#DIV/0!</v>
      </c>
      <c r="J26" s="348">
        <v>0</v>
      </c>
      <c r="K26" s="466" t="e">
        <f t="shared" si="6"/>
        <v>#DIV/0!</v>
      </c>
      <c r="L26" s="349"/>
      <c r="N26" s="2"/>
      <c r="O26" s="2"/>
    </row>
    <row r="27" spans="1:15" ht="20.25" customHeight="1" x14ac:dyDescent="0.25">
      <c r="A27" s="69" t="s">
        <v>78</v>
      </c>
      <c r="B27" s="144"/>
      <c r="C27" s="344">
        <f t="shared" si="0"/>
        <v>0</v>
      </c>
      <c r="D27" s="314"/>
      <c r="E27" s="345">
        <v>0</v>
      </c>
      <c r="F27" s="461" t="e">
        <f t="shared" si="4"/>
        <v>#DIV/0!</v>
      </c>
      <c r="G27" s="346">
        <v>0</v>
      </c>
      <c r="H27" s="347">
        <v>0</v>
      </c>
      <c r="I27" s="463" t="e">
        <f t="shared" si="5"/>
        <v>#DIV/0!</v>
      </c>
      <c r="J27" s="348">
        <v>0</v>
      </c>
      <c r="K27" s="466" t="e">
        <f t="shared" si="6"/>
        <v>#DIV/0!</v>
      </c>
      <c r="L27" s="349"/>
      <c r="N27" s="2"/>
      <c r="O27" s="2"/>
    </row>
    <row r="28" spans="1:15" ht="20.25" customHeight="1" x14ac:dyDescent="0.25">
      <c r="A28" s="69" t="s">
        <v>159</v>
      </c>
      <c r="B28" s="354"/>
      <c r="C28" s="344">
        <f t="shared" si="0"/>
        <v>0</v>
      </c>
      <c r="D28" s="22"/>
      <c r="E28" s="353">
        <v>0</v>
      </c>
      <c r="F28" s="461" t="e">
        <f t="shared" si="4"/>
        <v>#DIV/0!</v>
      </c>
      <c r="G28" s="346">
        <v>0</v>
      </c>
      <c r="H28" s="355">
        <v>0</v>
      </c>
      <c r="I28" s="463" t="e">
        <f t="shared" si="5"/>
        <v>#DIV/0!</v>
      </c>
      <c r="J28" s="348">
        <v>0</v>
      </c>
      <c r="K28" s="466" t="e">
        <f t="shared" si="6"/>
        <v>#DIV/0!</v>
      </c>
      <c r="L28" s="349"/>
      <c r="N28" s="2"/>
      <c r="O28" s="2"/>
    </row>
    <row r="29" spans="1:15" ht="20.25" customHeight="1" x14ac:dyDescent="0.25">
      <c r="A29" s="69" t="s">
        <v>160</v>
      </c>
      <c r="B29" s="354"/>
      <c r="C29" s="344">
        <f t="shared" si="0"/>
        <v>0</v>
      </c>
      <c r="D29" s="22"/>
      <c r="E29" s="353">
        <v>0</v>
      </c>
      <c r="F29" s="461" t="e">
        <f t="shared" si="4"/>
        <v>#DIV/0!</v>
      </c>
      <c r="G29" s="346">
        <v>0</v>
      </c>
      <c r="H29" s="355"/>
      <c r="I29" s="463" t="e">
        <f t="shared" si="5"/>
        <v>#DIV/0!</v>
      </c>
      <c r="J29" s="348">
        <v>0</v>
      </c>
      <c r="K29" s="466" t="e">
        <f t="shared" si="6"/>
        <v>#DIV/0!</v>
      </c>
      <c r="L29" s="349"/>
      <c r="N29" s="2"/>
      <c r="O29" s="2"/>
    </row>
    <row r="30" spans="1:15" ht="20.25" customHeight="1" x14ac:dyDescent="0.25">
      <c r="A30" s="69" t="s">
        <v>103</v>
      </c>
      <c r="B30" s="354"/>
      <c r="C30" s="356">
        <v>0</v>
      </c>
      <c r="D30" s="22"/>
      <c r="E30" s="311">
        <f>C30*A10</f>
        <v>0</v>
      </c>
      <c r="F30" s="461" t="e">
        <f t="shared" si="4"/>
        <v>#DIV/0!</v>
      </c>
      <c r="G30" s="311">
        <f>C30*A10</f>
        <v>0</v>
      </c>
      <c r="H30" s="318"/>
      <c r="I30" s="463" t="e">
        <f t="shared" si="5"/>
        <v>#DIV/0!</v>
      </c>
      <c r="J30" s="219">
        <v>0</v>
      </c>
      <c r="K30" s="466" t="e">
        <f t="shared" si="6"/>
        <v>#DIV/0!</v>
      </c>
      <c r="L30" s="349"/>
      <c r="N30" s="2"/>
      <c r="O30" s="2"/>
    </row>
    <row r="31" spans="1:15" x14ac:dyDescent="0.25">
      <c r="A31" s="69"/>
      <c r="B31" s="146"/>
      <c r="C31" s="22"/>
      <c r="D31" s="314"/>
      <c r="E31" s="339"/>
      <c r="F31" s="339"/>
      <c r="G31" s="323"/>
      <c r="H31" s="324"/>
      <c r="I31" s="325"/>
      <c r="J31" s="325"/>
      <c r="K31" s="315"/>
      <c r="L31" s="349"/>
      <c r="N31" s="2"/>
      <c r="O31" s="2"/>
    </row>
    <row r="32" spans="1:15" ht="16.5" x14ac:dyDescent="0.3">
      <c r="A32" s="61" t="s">
        <v>104</v>
      </c>
      <c r="B32" s="357"/>
      <c r="C32" s="133"/>
      <c r="D32" s="358"/>
      <c r="E32" s="359">
        <f>SUM(E20:E31)</f>
        <v>0</v>
      </c>
      <c r="F32" s="360" t="e">
        <f>E32/E17</f>
        <v>#DIV/0!</v>
      </c>
      <c r="G32" s="361">
        <f>SUM(G20:G31)</f>
        <v>0</v>
      </c>
      <c r="H32" s="362">
        <f>SUM(H20:H31)</f>
        <v>0</v>
      </c>
      <c r="I32" s="363" t="e">
        <f>G32/G17</f>
        <v>#DIV/0!</v>
      </c>
      <c r="J32" s="364">
        <f>SUM(J20:J31)</f>
        <v>0</v>
      </c>
      <c r="K32" s="365" t="e">
        <f>J32/J17</f>
        <v>#DIV/0!</v>
      </c>
      <c r="L32" s="349"/>
      <c r="M32" s="349"/>
      <c r="N32" s="366"/>
      <c r="O32" s="2"/>
    </row>
    <row r="33" spans="1:15" ht="6" customHeight="1" x14ac:dyDescent="0.25">
      <c r="A33" s="69"/>
      <c r="B33" s="367"/>
      <c r="C33" s="133"/>
      <c r="D33" s="368"/>
      <c r="E33" s="311"/>
      <c r="F33" s="311"/>
      <c r="G33" s="323"/>
      <c r="H33" s="324"/>
      <c r="I33" s="325"/>
      <c r="J33" s="325"/>
      <c r="K33" s="315"/>
      <c r="L33" s="349"/>
      <c r="M33" s="349"/>
      <c r="N33" s="366"/>
      <c r="O33" s="2"/>
    </row>
    <row r="34" spans="1:15" x14ac:dyDescent="0.25">
      <c r="A34" s="69"/>
      <c r="B34" s="367"/>
      <c r="C34" s="133"/>
      <c r="D34" s="145" t="s">
        <v>161</v>
      </c>
      <c r="E34" s="311" t="e">
        <f>E32/A10</f>
        <v>#DIV/0!</v>
      </c>
      <c r="F34" s="311"/>
      <c r="G34" s="323" t="e">
        <f>G32/A10</f>
        <v>#DIV/0!</v>
      </c>
      <c r="H34" s="324" t="e">
        <f>H32/A10</f>
        <v>#DIV/0!</v>
      </c>
      <c r="I34" s="325"/>
      <c r="J34" s="325" t="e">
        <f>J32/A10</f>
        <v>#DIV/0!</v>
      </c>
      <c r="K34" s="315"/>
      <c r="L34" s="349"/>
      <c r="M34" s="349"/>
      <c r="N34" s="366"/>
      <c r="O34" s="2"/>
    </row>
    <row r="35" spans="1:15" x14ac:dyDescent="0.25">
      <c r="A35" s="69"/>
      <c r="B35" s="22"/>
      <c r="C35" s="133"/>
      <c r="D35" s="369" t="s">
        <v>162</v>
      </c>
      <c r="E35" s="370" t="e">
        <f>E32/D10</f>
        <v>#DIV/0!</v>
      </c>
      <c r="F35" s="370"/>
      <c r="G35" s="223" t="e">
        <f>G32/D10</f>
        <v>#DIV/0!</v>
      </c>
      <c r="H35" s="371" t="e">
        <f>H32/D10</f>
        <v>#DIV/0!</v>
      </c>
      <c r="I35" s="372"/>
      <c r="J35" s="372" t="e">
        <f>J32/D10</f>
        <v>#DIV/0!</v>
      </c>
      <c r="K35" s="315"/>
      <c r="L35" s="349"/>
      <c r="M35" s="349"/>
      <c r="N35" s="366"/>
      <c r="O35" s="2"/>
    </row>
    <row r="36" spans="1:15" x14ac:dyDescent="0.25">
      <c r="A36" s="69"/>
      <c r="B36" s="22"/>
      <c r="C36" s="22"/>
      <c r="D36" s="310"/>
      <c r="E36" s="339"/>
      <c r="F36" s="339"/>
      <c r="G36" s="373"/>
      <c r="H36" s="324"/>
      <c r="I36" s="325"/>
      <c r="J36" s="325"/>
      <c r="K36" s="315"/>
      <c r="L36" s="1"/>
      <c r="M36" s="349"/>
      <c r="N36" s="366"/>
      <c r="O36" s="2"/>
    </row>
    <row r="37" spans="1:15" s="29" customFormat="1" ht="17.25" thickBot="1" x14ac:dyDescent="0.35">
      <c r="A37" s="167" t="s">
        <v>163</v>
      </c>
      <c r="B37" s="168"/>
      <c r="C37" s="168"/>
      <c r="D37" s="374"/>
      <c r="E37" s="375">
        <f>E17-E32</f>
        <v>0</v>
      </c>
      <c r="F37" s="375"/>
      <c r="G37" s="376">
        <f>G17-G32</f>
        <v>0</v>
      </c>
      <c r="H37" s="377">
        <f>H17-H32</f>
        <v>-1</v>
      </c>
      <c r="I37" s="376"/>
      <c r="J37" s="376">
        <f>J17-J32</f>
        <v>0</v>
      </c>
      <c r="K37" s="378"/>
      <c r="L37" s="118"/>
      <c r="M37" s="379"/>
      <c r="N37" s="380"/>
      <c r="O37" s="175"/>
    </row>
    <row r="38" spans="1:15" s="4" customFormat="1" ht="19.5" customHeight="1" thickTop="1" x14ac:dyDescent="0.3">
      <c r="A38" s="381" t="s">
        <v>164</v>
      </c>
      <c r="B38" s="382"/>
      <c r="C38" s="383">
        <f>B46</f>
        <v>0</v>
      </c>
      <c r="D38" s="384"/>
      <c r="E38" s="385">
        <f>-F51*12</f>
        <v>0</v>
      </c>
      <c r="F38" s="386"/>
      <c r="G38" s="387">
        <f>E38</f>
        <v>0</v>
      </c>
      <c r="H38" s="388">
        <f>E38</f>
        <v>0</v>
      </c>
      <c r="I38" s="389"/>
      <c r="J38" s="389">
        <f>E38</f>
        <v>0</v>
      </c>
      <c r="K38" s="63"/>
      <c r="L38" s="1"/>
      <c r="M38" s="366"/>
      <c r="N38" s="366"/>
      <c r="O38" s="11"/>
    </row>
    <row r="39" spans="1:15" s="4" customFormat="1" ht="19.5" customHeight="1" x14ac:dyDescent="0.3">
      <c r="A39" s="181" t="s">
        <v>165</v>
      </c>
      <c r="B39" s="182"/>
      <c r="C39" s="182"/>
      <c r="D39" s="390"/>
      <c r="E39" s="391">
        <f>SUM(E37:E38)</f>
        <v>0</v>
      </c>
      <c r="F39" s="391"/>
      <c r="G39" s="392">
        <f>G37+G38</f>
        <v>0</v>
      </c>
      <c r="H39" s="393">
        <f>H37+H38</f>
        <v>-1</v>
      </c>
      <c r="I39" s="394"/>
      <c r="J39" s="394">
        <f>J37+J38</f>
        <v>0</v>
      </c>
      <c r="K39" s="63"/>
      <c r="L39" s="1"/>
      <c r="M39" s="349"/>
      <c r="N39" s="366"/>
      <c r="O39" s="11"/>
    </row>
    <row r="40" spans="1:15" s="4" customFormat="1" ht="19.5" customHeight="1" x14ac:dyDescent="0.3">
      <c r="A40" s="181" t="s">
        <v>166</v>
      </c>
      <c r="B40" s="182"/>
      <c r="C40" s="182"/>
      <c r="D40" s="390"/>
      <c r="E40" s="395" t="e">
        <f>E39/B51</f>
        <v>#DIV/0!</v>
      </c>
      <c r="F40" s="395"/>
      <c r="G40" s="396" t="e">
        <f>G39/B51</f>
        <v>#DIV/0!</v>
      </c>
      <c r="H40" s="397" t="e">
        <f>H39/B51</f>
        <v>#DIV/0!</v>
      </c>
      <c r="I40" s="398"/>
      <c r="J40" s="398" t="e">
        <f>J39/B51</f>
        <v>#DIV/0!</v>
      </c>
      <c r="K40" s="63"/>
      <c r="L40" s="1"/>
      <c r="M40" s="349"/>
      <c r="N40" s="366"/>
      <c r="O40" s="11"/>
    </row>
    <row r="41" spans="1:15" s="4" customFormat="1" ht="19.5" customHeight="1" x14ac:dyDescent="0.3">
      <c r="A41" s="400" t="s">
        <v>167</v>
      </c>
      <c r="B41" s="401"/>
      <c r="C41" s="401"/>
      <c r="D41" s="402"/>
      <c r="E41" s="403"/>
      <c r="F41" s="403"/>
      <c r="G41" s="404"/>
      <c r="H41" s="405"/>
      <c r="I41" s="406"/>
      <c r="J41" s="407"/>
      <c r="K41" s="63"/>
      <c r="L41" s="1"/>
      <c r="M41" s="349"/>
      <c r="N41" s="366"/>
      <c r="O41" s="11"/>
    </row>
    <row r="42" spans="1:15" s="4" customFormat="1" ht="19.5" customHeight="1" x14ac:dyDescent="0.3">
      <c r="A42" s="408" t="s">
        <v>168</v>
      </c>
      <c r="B42" s="409"/>
      <c r="C42" s="409"/>
      <c r="D42" s="410"/>
      <c r="E42" s="411">
        <f>SUM(E39,E41)</f>
        <v>0</v>
      </c>
      <c r="F42" s="411"/>
      <c r="G42" s="411">
        <f>SUM(G39,G41)</f>
        <v>0</v>
      </c>
      <c r="H42" s="412"/>
      <c r="I42" s="407"/>
      <c r="J42" s="407">
        <f>SUM(J39,J41)</f>
        <v>0</v>
      </c>
      <c r="K42" s="63"/>
      <c r="L42" s="1"/>
      <c r="M42" s="349"/>
      <c r="N42" s="366"/>
      <c r="O42" s="11"/>
    </row>
    <row r="43" spans="1:15" s="4" customFormat="1" ht="19.5" customHeight="1" thickBot="1" x14ac:dyDescent="0.35">
      <c r="A43" s="413" t="s">
        <v>169</v>
      </c>
      <c r="B43" s="414"/>
      <c r="C43" s="414"/>
      <c r="D43" s="415"/>
      <c r="E43" s="416" t="e">
        <f>E42/B51</f>
        <v>#DIV/0!</v>
      </c>
      <c r="F43" s="416"/>
      <c r="G43" s="416" t="e">
        <f>G42/B51</f>
        <v>#DIV/0!</v>
      </c>
      <c r="H43" s="417"/>
      <c r="I43" s="418"/>
      <c r="J43" s="418" t="e">
        <f>J42/B51</f>
        <v>#DIV/0!</v>
      </c>
      <c r="K43" s="399"/>
      <c r="L43" s="1"/>
      <c r="M43" s="349"/>
      <c r="N43" s="366"/>
      <c r="O43" s="11"/>
    </row>
    <row r="44" spans="1:15" ht="17.25" thickBot="1" x14ac:dyDescent="0.35">
      <c r="A44" s="477"/>
      <c r="B44" s="478"/>
      <c r="C44" s="478"/>
      <c r="D44" s="478"/>
      <c r="E44" s="479"/>
      <c r="F44" s="479"/>
      <c r="G44" s="479"/>
      <c r="H44" s="480"/>
      <c r="I44" s="480"/>
      <c r="J44" s="480"/>
      <c r="K44" s="481"/>
      <c r="N44" s="2"/>
      <c r="O44" s="419"/>
    </row>
    <row r="45" spans="1:15" ht="24.75" customHeight="1" x14ac:dyDescent="0.3">
      <c r="A45" s="61" t="s">
        <v>111</v>
      </c>
      <c r="B45" s="343" t="s">
        <v>170</v>
      </c>
      <c r="C45" s="342" t="s">
        <v>171</v>
      </c>
      <c r="D45" s="342" t="s">
        <v>172</v>
      </c>
      <c r="E45" s="475" t="s">
        <v>114</v>
      </c>
      <c r="F45" s="475" t="s">
        <v>113</v>
      </c>
      <c r="G45" s="343" t="s">
        <v>114</v>
      </c>
      <c r="H45" s="476" t="s">
        <v>114</v>
      </c>
      <c r="I45" s="343" t="s">
        <v>113</v>
      </c>
      <c r="J45" s="343" t="s">
        <v>114</v>
      </c>
      <c r="K45" s="474" t="s">
        <v>113</v>
      </c>
      <c r="N45" s="2"/>
      <c r="O45" s="420"/>
    </row>
    <row r="46" spans="1:15" s="118" customFormat="1" ht="21" customHeight="1" thickBot="1" x14ac:dyDescent="0.35">
      <c r="A46" s="421" t="s">
        <v>173</v>
      </c>
      <c r="B46" s="422">
        <v>0</v>
      </c>
      <c r="C46" s="423" t="e">
        <f>B46/A10</f>
        <v>#DIV/0!</v>
      </c>
      <c r="D46" s="424" t="e">
        <f>B46/D10</f>
        <v>#DIV/0!</v>
      </c>
      <c r="E46" s="425" t="e">
        <f>E37/B46</f>
        <v>#DIV/0!</v>
      </c>
      <c r="F46" s="468" t="e">
        <f>B46/E17</f>
        <v>#DIV/0!</v>
      </c>
      <c r="G46" s="426" t="e">
        <f>G37/B46</f>
        <v>#DIV/0!</v>
      </c>
      <c r="H46" s="427" t="e">
        <f>H37/B46</f>
        <v>#DIV/0!</v>
      </c>
      <c r="I46" s="471" t="e">
        <f>B46/G17</f>
        <v>#DIV/0!</v>
      </c>
      <c r="J46" s="426" t="e">
        <f>J37/B46</f>
        <v>#DIV/0!</v>
      </c>
      <c r="K46" s="482" t="e">
        <f>B46/J17</f>
        <v>#DIV/0!</v>
      </c>
      <c r="L46" s="117"/>
      <c r="M46" s="117"/>
      <c r="N46" s="117"/>
      <c r="O46" s="428"/>
    </row>
    <row r="47" spans="1:15" ht="21" customHeight="1" x14ac:dyDescent="0.25">
      <c r="A47" s="429" t="s">
        <v>174</v>
      </c>
      <c r="B47" s="430">
        <v>0</v>
      </c>
      <c r="C47" s="220" t="e">
        <f>B47/A10</f>
        <v>#DIV/0!</v>
      </c>
      <c r="D47" s="221" t="e">
        <f>B47/D10</f>
        <v>#DIV/0!</v>
      </c>
      <c r="E47" s="431" t="e">
        <f>E37/B47</f>
        <v>#DIV/0!</v>
      </c>
      <c r="F47" s="469" t="e">
        <f>B47/E17</f>
        <v>#DIV/0!</v>
      </c>
      <c r="G47" s="224" t="e">
        <f>G37/B47</f>
        <v>#DIV/0!</v>
      </c>
      <c r="H47" s="432" t="e">
        <f>H37/B47</f>
        <v>#DIV/0!</v>
      </c>
      <c r="I47" s="472" t="e">
        <f>B47/G17</f>
        <v>#DIV/0!</v>
      </c>
      <c r="J47" s="433" t="e">
        <f>J37/B47</f>
        <v>#DIV/0!</v>
      </c>
      <c r="K47" s="450" t="e">
        <f>B47/J17</f>
        <v>#DIV/0!</v>
      </c>
      <c r="N47" s="2"/>
    </row>
    <row r="48" spans="1:15" ht="21" customHeight="1" thickBot="1" x14ac:dyDescent="0.3">
      <c r="A48" s="434" t="s">
        <v>175</v>
      </c>
      <c r="B48" s="435">
        <v>0</v>
      </c>
      <c r="C48" s="227" t="e">
        <f>B48/A10</f>
        <v>#DIV/0!</v>
      </c>
      <c r="D48" s="228" t="e">
        <f>B48/D10</f>
        <v>#DIV/0!</v>
      </c>
      <c r="E48" s="436" t="e">
        <f>E37/B48</f>
        <v>#DIV/0!</v>
      </c>
      <c r="F48" s="470" t="e">
        <f>B48/E17</f>
        <v>#DIV/0!</v>
      </c>
      <c r="G48" s="234" t="e">
        <f>G37/B48</f>
        <v>#DIV/0!</v>
      </c>
      <c r="H48" s="437" t="e">
        <f>H37/B48</f>
        <v>#DIV/0!</v>
      </c>
      <c r="I48" s="473" t="e">
        <f>B48/G17</f>
        <v>#DIV/0!</v>
      </c>
      <c r="J48" s="438" t="e">
        <f>J37/B48</f>
        <v>#DIV/0!</v>
      </c>
      <c r="K48" s="458" t="e">
        <f>B48/J17</f>
        <v>#DIV/0!</v>
      </c>
      <c r="N48" s="2"/>
    </row>
    <row r="49" spans="1:15" ht="16.5" thickBot="1" x14ac:dyDescent="0.3">
      <c r="A49" s="2"/>
      <c r="B49" s="2"/>
      <c r="C49" s="2"/>
      <c r="D49" s="2"/>
      <c r="I49" s="2" t="s">
        <v>176</v>
      </c>
    </row>
    <row r="50" spans="1:15" ht="82.5" x14ac:dyDescent="0.3">
      <c r="A50" s="439" t="s">
        <v>177</v>
      </c>
      <c r="B50" s="440" t="s">
        <v>116</v>
      </c>
      <c r="C50" s="441" t="s">
        <v>178</v>
      </c>
      <c r="D50" s="440" t="s">
        <v>119</v>
      </c>
      <c r="E50" s="440" t="s">
        <v>120</v>
      </c>
      <c r="F50" s="442" t="s">
        <v>179</v>
      </c>
      <c r="G50" s="442" t="s">
        <v>180</v>
      </c>
      <c r="H50" s="443" t="s">
        <v>181</v>
      </c>
      <c r="I50" s="443" t="s">
        <v>182</v>
      </c>
      <c r="M50" s="1"/>
    </row>
    <row r="51" spans="1:15" ht="21" customHeight="1" x14ac:dyDescent="0.25">
      <c r="A51" s="444">
        <f>B46-B51</f>
        <v>0</v>
      </c>
      <c r="B51" s="241">
        <f>C51*B46</f>
        <v>0</v>
      </c>
      <c r="C51" s="445">
        <v>0.25</v>
      </c>
      <c r="D51" s="446">
        <v>3.7499999999999999E-2</v>
      </c>
      <c r="E51" s="447">
        <v>25</v>
      </c>
      <c r="F51" s="448">
        <f>-PMT(D51/12,E51*12,A51)</f>
        <v>0</v>
      </c>
      <c r="G51" s="246">
        <f>F51*12</f>
        <v>0</v>
      </c>
      <c r="H51" s="449" t="e">
        <f>E37/G51</f>
        <v>#DIV/0!</v>
      </c>
      <c r="I51" s="450" t="e">
        <f>G37/G51</f>
        <v>#DIV/0!</v>
      </c>
      <c r="M51" s="1"/>
    </row>
    <row r="52" spans="1:15" ht="21" customHeight="1" x14ac:dyDescent="0.25">
      <c r="A52" s="444">
        <f>B47-B52</f>
        <v>0</v>
      </c>
      <c r="B52" s="241">
        <f>B47*C52</f>
        <v>0</v>
      </c>
      <c r="C52" s="445">
        <v>0.25</v>
      </c>
      <c r="D52" s="446">
        <v>3.7499999999999999E-2</v>
      </c>
      <c r="E52" s="447">
        <v>25</v>
      </c>
      <c r="F52" s="448">
        <f>-PMT(D52/12,E52*12,A52)</f>
        <v>0</v>
      </c>
      <c r="G52" s="246">
        <f>F52*12</f>
        <v>0</v>
      </c>
      <c r="H52" s="451"/>
      <c r="I52" s="450" t="e">
        <f>G37/G52</f>
        <v>#DIV/0!</v>
      </c>
      <c r="M52" s="1"/>
    </row>
    <row r="53" spans="1:15" ht="21" customHeight="1" thickBot="1" x14ac:dyDescent="0.3">
      <c r="A53" s="452">
        <f>B48-B53</f>
        <v>0</v>
      </c>
      <c r="B53" s="249">
        <f>B48*C53</f>
        <v>0</v>
      </c>
      <c r="C53" s="453">
        <v>0.25</v>
      </c>
      <c r="D53" s="454">
        <v>3.7499999999999999E-2</v>
      </c>
      <c r="E53" s="455">
        <v>25</v>
      </c>
      <c r="F53" s="456">
        <f>-PMT(D53/12,E53*12,A53)</f>
        <v>0</v>
      </c>
      <c r="G53" s="254">
        <f>F53*12</f>
        <v>0</v>
      </c>
      <c r="H53" s="457"/>
      <c r="I53" s="458" t="e">
        <f>G37/G53</f>
        <v>#DIV/0!</v>
      </c>
      <c r="M53" s="1"/>
    </row>
    <row r="54" spans="1:15" ht="21" customHeight="1" x14ac:dyDescent="0.25">
      <c r="A54" s="459"/>
      <c r="B54" s="241"/>
      <c r="C54" s="446"/>
      <c r="D54" s="447"/>
      <c r="E54" s="448"/>
      <c r="F54" s="246"/>
      <c r="G54" s="146"/>
      <c r="L54" s="1"/>
      <c r="M54" s="1"/>
    </row>
    <row r="55" spans="1:15" x14ac:dyDescent="0.25">
      <c r="A55" s="6" t="s">
        <v>136</v>
      </c>
      <c r="B55" s="6"/>
      <c r="C55" s="6"/>
      <c r="D55" s="6"/>
    </row>
    <row r="56" spans="1:15" x14ac:dyDescent="0.25">
      <c r="A56" s="6" t="s">
        <v>137</v>
      </c>
      <c r="B56" s="6"/>
      <c r="C56" s="6"/>
      <c r="D56" s="6"/>
    </row>
    <row r="57" spans="1:15" ht="21" x14ac:dyDescent="0.35">
      <c r="A57" s="460"/>
      <c r="B57" s="6"/>
      <c r="C57" s="6"/>
      <c r="D57" s="6"/>
    </row>
    <row r="58" spans="1:15" s="2" customFormat="1" x14ac:dyDescent="0.25">
      <c r="A58" s="6"/>
      <c r="B58" s="6"/>
      <c r="C58" s="6"/>
      <c r="D58" s="6"/>
      <c r="N58" s="1"/>
      <c r="O58" s="1"/>
    </row>
  </sheetData>
  <mergeCells count="4">
    <mergeCell ref="A1:D3"/>
    <mergeCell ref="A4:J4"/>
    <mergeCell ref="A5:J5"/>
    <mergeCell ref="A6:J6"/>
  </mergeCells>
  <printOptions horizontalCentered="1"/>
  <pageMargins left="0.5" right="0.5" top="0.75" bottom="0.75" header="0.5" footer="0.5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5"/>
  <sheetViews>
    <sheetView showGridLines="0" tabSelected="1" topLeftCell="A130" zoomScale="80" zoomScaleNormal="80" workbookViewId="0">
      <selection activeCell="E107" sqref="E107"/>
    </sheetView>
  </sheetViews>
  <sheetFormatPr defaultRowHeight="15.75" outlineLevelRow="1" x14ac:dyDescent="0.25"/>
  <cols>
    <col min="1" max="1" width="21.28515625" style="1" customWidth="1"/>
    <col min="2" max="2" width="22.42578125" style="1" bestFit="1" customWidth="1"/>
    <col min="3" max="3" width="17.28515625" style="1" customWidth="1"/>
    <col min="4" max="4" width="18.7109375" style="1" customWidth="1"/>
    <col min="5" max="5" width="17.7109375" style="2" customWidth="1"/>
    <col min="6" max="6" width="16.140625" style="2" customWidth="1"/>
    <col min="7" max="7" width="17.7109375" style="2" customWidth="1"/>
    <col min="8" max="8" width="16.140625" style="2" customWidth="1"/>
    <col min="9" max="9" width="17.7109375" style="2" customWidth="1"/>
    <col min="10" max="10" width="16.140625" style="3" customWidth="1"/>
    <col min="11" max="11" width="17.42578125" style="2" customWidth="1"/>
    <col min="12" max="12" width="16.42578125" style="2" bestFit="1" customWidth="1"/>
    <col min="13" max="14" width="9.140625" style="1"/>
    <col min="15" max="15" width="11.5703125" style="1" customWidth="1"/>
    <col min="16" max="17" width="9.140625" style="1"/>
    <col min="18" max="18" width="11.85546875" style="1" customWidth="1"/>
    <col min="19" max="19" width="9.28515625" style="1" customWidth="1"/>
    <col min="20" max="16384" width="9.140625" style="1"/>
  </cols>
  <sheetData>
    <row r="1" spans="1:9" x14ac:dyDescent="0.25">
      <c r="E1" s="1"/>
    </row>
    <row r="2" spans="1:9" ht="16.5" x14ac:dyDescent="0.3">
      <c r="A2" s="4" t="s">
        <v>0</v>
      </c>
      <c r="B2" s="4"/>
      <c r="E2" s="1"/>
    </row>
    <row r="3" spans="1:9" ht="16.5" x14ac:dyDescent="0.3">
      <c r="A3" s="4"/>
      <c r="B3" s="4"/>
      <c r="E3" s="1"/>
    </row>
    <row r="4" spans="1:9" ht="16.5" x14ac:dyDescent="0.3">
      <c r="A4" s="5" t="s">
        <v>1</v>
      </c>
      <c r="B4" s="6"/>
      <c r="C4" s="7" t="s">
        <v>2</v>
      </c>
      <c r="E4" s="1"/>
    </row>
    <row r="5" spans="1:9" ht="16.5" x14ac:dyDescent="0.3">
      <c r="A5" s="5" t="s">
        <v>3</v>
      </c>
      <c r="B5" s="6"/>
      <c r="C5" s="7" t="s">
        <v>2</v>
      </c>
      <c r="E5" s="1"/>
    </row>
    <row r="6" spans="1:9" ht="16.5" x14ac:dyDescent="0.3">
      <c r="A6" s="5"/>
      <c r="B6" s="6"/>
      <c r="C6" s="8"/>
      <c r="E6" s="1"/>
    </row>
    <row r="7" spans="1:9" ht="16.5" x14ac:dyDescent="0.3">
      <c r="A7" s="5" t="s">
        <v>4</v>
      </c>
      <c r="B7" s="6"/>
      <c r="C7" s="9">
        <v>0</v>
      </c>
      <c r="E7" s="1"/>
    </row>
    <row r="8" spans="1:9" ht="16.5" x14ac:dyDescent="0.3">
      <c r="A8" s="5" t="s">
        <v>5</v>
      </c>
      <c r="B8" s="6"/>
      <c r="C8" s="9">
        <v>0</v>
      </c>
      <c r="E8" s="1"/>
    </row>
    <row r="9" spans="1:9" ht="16.5" x14ac:dyDescent="0.3">
      <c r="A9" s="5"/>
      <c r="B9" s="6"/>
      <c r="C9" s="10"/>
      <c r="E9" s="1"/>
    </row>
    <row r="10" spans="1:9" ht="16.5" x14ac:dyDescent="0.3">
      <c r="A10" s="5" t="s">
        <v>6</v>
      </c>
      <c r="B10" s="6"/>
      <c r="C10" s="11" t="s">
        <v>7</v>
      </c>
      <c r="E10" s="11" t="s">
        <v>8</v>
      </c>
      <c r="G10" s="11" t="s">
        <v>9</v>
      </c>
    </row>
    <row r="11" spans="1:9" ht="16.5" x14ac:dyDescent="0.3">
      <c r="A11" s="5"/>
      <c r="B11" s="6" t="s">
        <v>10</v>
      </c>
      <c r="C11" s="12">
        <v>0</v>
      </c>
      <c r="D11" s="13" t="e">
        <f>C11/$C$7</f>
        <v>#DIV/0!</v>
      </c>
      <c r="E11" s="12">
        <v>0</v>
      </c>
      <c r="F11" s="13" t="e">
        <f>E11/$C$7</f>
        <v>#DIV/0!</v>
      </c>
      <c r="G11" s="12">
        <v>0</v>
      </c>
      <c r="H11" s="13" t="e">
        <f>G11/$C$7</f>
        <v>#DIV/0!</v>
      </c>
    </row>
    <row r="12" spans="1:9" ht="16.5" x14ac:dyDescent="0.3">
      <c r="A12" s="5"/>
      <c r="B12" s="6" t="s">
        <v>11</v>
      </c>
      <c r="C12" s="12">
        <v>0</v>
      </c>
      <c r="D12" s="13" t="e">
        <f>C12/$C$8</f>
        <v>#DIV/0!</v>
      </c>
      <c r="E12" s="12">
        <v>0</v>
      </c>
      <c r="F12" s="13" t="e">
        <f>E12/$C$8</f>
        <v>#DIV/0!</v>
      </c>
      <c r="G12" s="12">
        <v>0</v>
      </c>
      <c r="H12" s="13" t="e">
        <f>G12/$C$8</f>
        <v>#DIV/0!</v>
      </c>
    </row>
    <row r="13" spans="1:9" ht="16.5" x14ac:dyDescent="0.3">
      <c r="A13" s="5"/>
      <c r="B13" s="6"/>
      <c r="C13" s="14">
        <f>SUM(C11:C12)</f>
        <v>0</v>
      </c>
      <c r="D13" s="15"/>
      <c r="E13" s="14">
        <f>SUM(E11:E12)</f>
        <v>0</v>
      </c>
      <c r="F13" s="15"/>
      <c r="G13" s="14">
        <f>SUM(G11:G12)</f>
        <v>0</v>
      </c>
      <c r="H13" s="16"/>
      <c r="I13" s="17"/>
    </row>
    <row r="14" spans="1:9" ht="16.5" x14ac:dyDescent="0.3">
      <c r="A14" s="5"/>
      <c r="B14" s="6"/>
      <c r="C14" s="11"/>
      <c r="E14" s="11"/>
      <c r="G14" s="11"/>
    </row>
    <row r="15" spans="1:9" ht="16.5" x14ac:dyDescent="0.3">
      <c r="A15" s="5" t="s">
        <v>12</v>
      </c>
      <c r="B15" s="6"/>
      <c r="C15" s="11" t="s">
        <v>7</v>
      </c>
      <c r="E15" s="11" t="s">
        <v>8</v>
      </c>
      <c r="G15" s="11" t="s">
        <v>9</v>
      </c>
    </row>
    <row r="16" spans="1:9" ht="16.5" x14ac:dyDescent="0.3">
      <c r="A16" s="5"/>
      <c r="B16" s="6" t="s">
        <v>13</v>
      </c>
      <c r="C16" s="12">
        <v>0</v>
      </c>
      <c r="E16" s="12">
        <f>C16</f>
        <v>0</v>
      </c>
      <c r="G16" s="12">
        <f>C16</f>
        <v>0</v>
      </c>
    </row>
    <row r="17" spans="1:8" ht="16.5" x14ac:dyDescent="0.3">
      <c r="A17" s="5"/>
      <c r="B17" s="6" t="s">
        <v>14</v>
      </c>
      <c r="C17" s="12">
        <v>0</v>
      </c>
      <c r="E17" s="12">
        <f t="shared" ref="E17:E22" si="0">C17</f>
        <v>0</v>
      </c>
      <c r="G17" s="12">
        <f t="shared" ref="G17:G22" si="1">C17</f>
        <v>0</v>
      </c>
    </row>
    <row r="18" spans="1:8" ht="16.5" x14ac:dyDescent="0.3">
      <c r="A18" s="5"/>
      <c r="B18" s="6" t="s">
        <v>15</v>
      </c>
      <c r="C18" s="12">
        <v>0</v>
      </c>
      <c r="E18" s="12">
        <f t="shared" si="0"/>
        <v>0</v>
      </c>
      <c r="G18" s="12">
        <f t="shared" si="1"/>
        <v>0</v>
      </c>
    </row>
    <row r="19" spans="1:8" ht="16.5" x14ac:dyDescent="0.3">
      <c r="A19" s="5"/>
      <c r="B19" s="6" t="s">
        <v>16</v>
      </c>
      <c r="C19" s="12">
        <v>0</v>
      </c>
      <c r="E19" s="12">
        <f t="shared" si="0"/>
        <v>0</v>
      </c>
      <c r="G19" s="12">
        <f t="shared" si="1"/>
        <v>0</v>
      </c>
    </row>
    <row r="20" spans="1:8" ht="16.5" x14ac:dyDescent="0.3">
      <c r="A20" s="5"/>
      <c r="B20" s="6" t="s">
        <v>17</v>
      </c>
      <c r="C20" s="12">
        <v>0</v>
      </c>
      <c r="E20" s="12">
        <f t="shared" si="0"/>
        <v>0</v>
      </c>
      <c r="G20" s="12">
        <f t="shared" si="1"/>
        <v>0</v>
      </c>
    </row>
    <row r="21" spans="1:8" ht="16.5" x14ac:dyDescent="0.3">
      <c r="A21" s="5"/>
      <c r="B21" s="6" t="s">
        <v>18</v>
      </c>
      <c r="C21" s="12">
        <v>0</v>
      </c>
      <c r="E21" s="12">
        <f t="shared" si="0"/>
        <v>0</v>
      </c>
      <c r="G21" s="12">
        <f t="shared" si="1"/>
        <v>0</v>
      </c>
    </row>
    <row r="22" spans="1:8" ht="16.5" x14ac:dyDescent="0.3">
      <c r="A22" s="5"/>
      <c r="B22" s="6" t="s">
        <v>19</v>
      </c>
      <c r="C22" s="12">
        <v>0</v>
      </c>
      <c r="E22" s="12">
        <f t="shared" si="0"/>
        <v>0</v>
      </c>
      <c r="G22" s="12">
        <f t="shared" si="1"/>
        <v>0</v>
      </c>
    </row>
    <row r="23" spans="1:8" ht="16.5" x14ac:dyDescent="0.3">
      <c r="A23" s="5"/>
      <c r="B23" s="6"/>
      <c r="C23" s="18">
        <f>SUM(C16:C22)</f>
        <v>0</v>
      </c>
      <c r="E23" s="18">
        <f>SUM(E16:E22)</f>
        <v>0</v>
      </c>
      <c r="G23" s="18">
        <f>SUM(G16:G22)</f>
        <v>0</v>
      </c>
    </row>
    <row r="24" spans="1:8" ht="16.5" x14ac:dyDescent="0.3">
      <c r="A24" s="5"/>
      <c r="B24" s="6"/>
      <c r="C24" s="11"/>
      <c r="E24" s="11"/>
      <c r="G24" s="11"/>
    </row>
    <row r="25" spans="1:8" ht="16.5" x14ac:dyDescent="0.3">
      <c r="A25" s="5" t="s">
        <v>20</v>
      </c>
      <c r="B25" s="6"/>
      <c r="C25" s="19">
        <f>C13+C23</f>
        <v>0</v>
      </c>
      <c r="E25" s="19">
        <f>E13+E23</f>
        <v>0</v>
      </c>
      <c r="G25" s="19">
        <f>G13+G23</f>
        <v>0</v>
      </c>
    </row>
    <row r="26" spans="1:8" ht="16.5" x14ac:dyDescent="0.3">
      <c r="A26" s="5"/>
      <c r="B26" s="6"/>
      <c r="C26" s="10"/>
      <c r="E26" s="1"/>
    </row>
    <row r="27" spans="1:8" ht="16.5" x14ac:dyDescent="0.3">
      <c r="A27" s="4" t="s">
        <v>21</v>
      </c>
      <c r="C27" s="11" t="s">
        <v>7</v>
      </c>
      <c r="D27" s="11" t="s">
        <v>22</v>
      </c>
      <c r="E27" s="11" t="s">
        <v>8</v>
      </c>
      <c r="F27" s="11" t="s">
        <v>22</v>
      </c>
      <c r="G27" s="11" t="s">
        <v>9</v>
      </c>
      <c r="H27" s="11" t="s">
        <v>22</v>
      </c>
    </row>
    <row r="28" spans="1:8" ht="16.5" x14ac:dyDescent="0.3">
      <c r="A28" s="4"/>
      <c r="B28" s="1" t="s">
        <v>23</v>
      </c>
      <c r="C28" s="12">
        <v>0</v>
      </c>
      <c r="D28" s="13" t="e">
        <f t="shared" ref="D28:D43" si="2">C28/$C$8</f>
        <v>#DIV/0!</v>
      </c>
      <c r="E28" s="12">
        <f>C28</f>
        <v>0</v>
      </c>
      <c r="F28" s="13" t="e">
        <f t="shared" ref="F28:F43" si="3">E28/$C$8</f>
        <v>#DIV/0!</v>
      </c>
      <c r="G28" s="12">
        <f>C28</f>
        <v>0</v>
      </c>
      <c r="H28" s="13" t="e">
        <f t="shared" ref="H28:H43" si="4">G28/$C$8</f>
        <v>#DIV/0!</v>
      </c>
    </row>
    <row r="29" spans="1:8" ht="16.5" x14ac:dyDescent="0.3">
      <c r="A29" s="4"/>
      <c r="B29" s="1" t="s">
        <v>24</v>
      </c>
      <c r="C29" s="12">
        <v>0</v>
      </c>
      <c r="D29" s="13" t="e">
        <f t="shared" si="2"/>
        <v>#DIV/0!</v>
      </c>
      <c r="E29" s="12">
        <f t="shared" ref="E29:E42" si="5">C29</f>
        <v>0</v>
      </c>
      <c r="F29" s="13" t="e">
        <f t="shared" si="3"/>
        <v>#DIV/0!</v>
      </c>
      <c r="G29" s="12">
        <f t="shared" ref="G29:G42" si="6">C29</f>
        <v>0</v>
      </c>
      <c r="H29" s="13" t="e">
        <f t="shared" si="4"/>
        <v>#DIV/0!</v>
      </c>
    </row>
    <row r="30" spans="1:8" ht="16.5" x14ac:dyDescent="0.3">
      <c r="A30" s="4"/>
      <c r="B30" s="1" t="s">
        <v>25</v>
      </c>
      <c r="C30" s="12">
        <v>0</v>
      </c>
      <c r="D30" s="13" t="e">
        <f t="shared" si="2"/>
        <v>#DIV/0!</v>
      </c>
      <c r="E30" s="12">
        <f t="shared" si="5"/>
        <v>0</v>
      </c>
      <c r="F30" s="13" t="e">
        <f t="shared" si="3"/>
        <v>#DIV/0!</v>
      </c>
      <c r="G30" s="12">
        <f t="shared" si="6"/>
        <v>0</v>
      </c>
      <c r="H30" s="13" t="e">
        <f t="shared" si="4"/>
        <v>#DIV/0!</v>
      </c>
    </row>
    <row r="31" spans="1:8" ht="16.5" x14ac:dyDescent="0.3">
      <c r="A31" s="4"/>
      <c r="B31" s="1" t="s">
        <v>26</v>
      </c>
      <c r="C31" s="12">
        <v>0</v>
      </c>
      <c r="D31" s="13" t="e">
        <f t="shared" si="2"/>
        <v>#DIV/0!</v>
      </c>
      <c r="E31" s="12">
        <f t="shared" si="5"/>
        <v>0</v>
      </c>
      <c r="F31" s="13" t="e">
        <f t="shared" si="3"/>
        <v>#DIV/0!</v>
      </c>
      <c r="G31" s="12">
        <f t="shared" si="6"/>
        <v>0</v>
      </c>
      <c r="H31" s="13" t="e">
        <f t="shared" si="4"/>
        <v>#DIV/0!</v>
      </c>
    </row>
    <row r="32" spans="1:8" ht="16.5" x14ac:dyDescent="0.3">
      <c r="A32" s="4"/>
      <c r="B32" s="1" t="s">
        <v>27</v>
      </c>
      <c r="C32" s="12">
        <v>0</v>
      </c>
      <c r="D32" s="13" t="e">
        <f t="shared" si="2"/>
        <v>#DIV/0!</v>
      </c>
      <c r="E32" s="12">
        <f t="shared" si="5"/>
        <v>0</v>
      </c>
      <c r="F32" s="13" t="e">
        <f t="shared" si="3"/>
        <v>#DIV/0!</v>
      </c>
      <c r="G32" s="12">
        <f t="shared" si="6"/>
        <v>0</v>
      </c>
      <c r="H32" s="13" t="e">
        <f t="shared" si="4"/>
        <v>#DIV/0!</v>
      </c>
    </row>
    <row r="33" spans="1:8" ht="16.5" x14ac:dyDescent="0.3">
      <c r="A33" s="4"/>
      <c r="B33" s="1" t="s">
        <v>18</v>
      </c>
      <c r="C33" s="12">
        <v>0</v>
      </c>
      <c r="D33" s="13" t="e">
        <f t="shared" si="2"/>
        <v>#DIV/0!</v>
      </c>
      <c r="E33" s="12">
        <f t="shared" si="5"/>
        <v>0</v>
      </c>
      <c r="F33" s="13" t="e">
        <f t="shared" si="3"/>
        <v>#DIV/0!</v>
      </c>
      <c r="G33" s="12">
        <f t="shared" si="6"/>
        <v>0</v>
      </c>
      <c r="H33" s="13" t="e">
        <f t="shared" si="4"/>
        <v>#DIV/0!</v>
      </c>
    </row>
    <row r="34" spans="1:8" ht="16.5" x14ac:dyDescent="0.3">
      <c r="A34" s="4"/>
      <c r="B34" s="1" t="s">
        <v>28</v>
      </c>
      <c r="C34" s="12">
        <v>0</v>
      </c>
      <c r="D34" s="13" t="e">
        <f t="shared" si="2"/>
        <v>#DIV/0!</v>
      </c>
      <c r="E34" s="12">
        <f t="shared" si="5"/>
        <v>0</v>
      </c>
      <c r="F34" s="13" t="e">
        <f t="shared" si="3"/>
        <v>#DIV/0!</v>
      </c>
      <c r="G34" s="12">
        <f t="shared" si="6"/>
        <v>0</v>
      </c>
      <c r="H34" s="13" t="e">
        <f t="shared" si="4"/>
        <v>#DIV/0!</v>
      </c>
    </row>
    <row r="35" spans="1:8" ht="16.5" x14ac:dyDescent="0.3">
      <c r="A35" s="4"/>
      <c r="B35" s="1" t="s">
        <v>29</v>
      </c>
      <c r="C35" s="12">
        <v>0</v>
      </c>
      <c r="D35" s="13" t="e">
        <f t="shared" si="2"/>
        <v>#DIV/0!</v>
      </c>
      <c r="E35" s="12">
        <f t="shared" si="5"/>
        <v>0</v>
      </c>
      <c r="F35" s="13" t="e">
        <f t="shared" si="3"/>
        <v>#DIV/0!</v>
      </c>
      <c r="G35" s="12">
        <f t="shared" si="6"/>
        <v>0</v>
      </c>
      <c r="H35" s="13" t="e">
        <f t="shared" si="4"/>
        <v>#DIV/0!</v>
      </c>
    </row>
    <row r="36" spans="1:8" ht="16.5" x14ac:dyDescent="0.3">
      <c r="A36" s="4"/>
      <c r="B36" s="1" t="s">
        <v>30</v>
      </c>
      <c r="C36" s="12">
        <v>0</v>
      </c>
      <c r="D36" s="13" t="e">
        <f t="shared" si="2"/>
        <v>#DIV/0!</v>
      </c>
      <c r="E36" s="12">
        <f t="shared" si="5"/>
        <v>0</v>
      </c>
      <c r="F36" s="13" t="e">
        <f t="shared" si="3"/>
        <v>#DIV/0!</v>
      </c>
      <c r="G36" s="12">
        <f t="shared" si="6"/>
        <v>0</v>
      </c>
      <c r="H36" s="13" t="e">
        <f t="shared" si="4"/>
        <v>#DIV/0!</v>
      </c>
    </row>
    <row r="37" spans="1:8" ht="16.5" x14ac:dyDescent="0.3">
      <c r="A37" s="4"/>
      <c r="B37" s="1" t="s">
        <v>31</v>
      </c>
      <c r="C37" s="12">
        <v>0</v>
      </c>
      <c r="D37" s="13" t="e">
        <f t="shared" si="2"/>
        <v>#DIV/0!</v>
      </c>
      <c r="E37" s="12">
        <f t="shared" si="5"/>
        <v>0</v>
      </c>
      <c r="F37" s="13" t="e">
        <f t="shared" si="3"/>
        <v>#DIV/0!</v>
      </c>
      <c r="G37" s="12">
        <f t="shared" si="6"/>
        <v>0</v>
      </c>
      <c r="H37" s="13" t="e">
        <f t="shared" si="4"/>
        <v>#DIV/0!</v>
      </c>
    </row>
    <row r="38" spans="1:8" ht="16.5" x14ac:dyDescent="0.3">
      <c r="A38" s="4"/>
      <c r="B38" s="1" t="s">
        <v>32</v>
      </c>
      <c r="C38" s="12">
        <v>0</v>
      </c>
      <c r="D38" s="13" t="e">
        <f t="shared" si="2"/>
        <v>#DIV/0!</v>
      </c>
      <c r="E38" s="12">
        <f t="shared" si="5"/>
        <v>0</v>
      </c>
      <c r="F38" s="13" t="e">
        <f t="shared" si="3"/>
        <v>#DIV/0!</v>
      </c>
      <c r="G38" s="12">
        <f t="shared" si="6"/>
        <v>0</v>
      </c>
      <c r="H38" s="13" t="e">
        <f t="shared" si="4"/>
        <v>#DIV/0!</v>
      </c>
    </row>
    <row r="39" spans="1:8" ht="16.5" x14ac:dyDescent="0.3">
      <c r="A39" s="4"/>
      <c r="B39" s="1" t="s">
        <v>33</v>
      </c>
      <c r="C39" s="12">
        <v>0</v>
      </c>
      <c r="D39" s="13" t="e">
        <f t="shared" si="2"/>
        <v>#DIV/0!</v>
      </c>
      <c r="E39" s="12">
        <f t="shared" si="5"/>
        <v>0</v>
      </c>
      <c r="F39" s="13" t="e">
        <f t="shared" si="3"/>
        <v>#DIV/0!</v>
      </c>
      <c r="G39" s="12">
        <f t="shared" si="6"/>
        <v>0</v>
      </c>
      <c r="H39" s="13" t="e">
        <f t="shared" si="4"/>
        <v>#DIV/0!</v>
      </c>
    </row>
    <row r="40" spans="1:8" ht="16.5" x14ac:dyDescent="0.3">
      <c r="A40" s="4"/>
      <c r="B40" s="1" t="s">
        <v>34</v>
      </c>
      <c r="C40" s="12">
        <v>0</v>
      </c>
      <c r="D40" s="13" t="e">
        <f t="shared" si="2"/>
        <v>#DIV/0!</v>
      </c>
      <c r="E40" s="12">
        <f t="shared" si="5"/>
        <v>0</v>
      </c>
      <c r="F40" s="13" t="e">
        <f t="shared" si="3"/>
        <v>#DIV/0!</v>
      </c>
      <c r="G40" s="12">
        <f t="shared" si="6"/>
        <v>0</v>
      </c>
      <c r="H40" s="13" t="e">
        <f t="shared" si="4"/>
        <v>#DIV/0!</v>
      </c>
    </row>
    <row r="41" spans="1:8" ht="16.5" x14ac:dyDescent="0.3">
      <c r="A41" s="4"/>
      <c r="B41" s="1" t="s">
        <v>35</v>
      </c>
      <c r="C41" s="12">
        <v>0</v>
      </c>
      <c r="D41" s="13" t="e">
        <f t="shared" si="2"/>
        <v>#DIV/0!</v>
      </c>
      <c r="E41" s="12">
        <f t="shared" si="5"/>
        <v>0</v>
      </c>
      <c r="F41" s="13" t="e">
        <f t="shared" si="3"/>
        <v>#DIV/0!</v>
      </c>
      <c r="G41" s="12">
        <f t="shared" si="6"/>
        <v>0</v>
      </c>
      <c r="H41" s="13" t="e">
        <f t="shared" si="4"/>
        <v>#DIV/0!</v>
      </c>
    </row>
    <row r="42" spans="1:8" ht="16.5" x14ac:dyDescent="0.3">
      <c r="A42" s="4"/>
      <c r="B42" s="1" t="s">
        <v>36</v>
      </c>
      <c r="C42" s="12">
        <v>0</v>
      </c>
      <c r="D42" s="13" t="e">
        <f t="shared" si="2"/>
        <v>#DIV/0!</v>
      </c>
      <c r="E42" s="12">
        <f t="shared" si="5"/>
        <v>0</v>
      </c>
      <c r="F42" s="13" t="e">
        <f t="shared" si="3"/>
        <v>#DIV/0!</v>
      </c>
      <c r="G42" s="12">
        <f t="shared" si="6"/>
        <v>0</v>
      </c>
      <c r="H42" s="13" t="e">
        <f t="shared" si="4"/>
        <v>#DIV/0!</v>
      </c>
    </row>
    <row r="43" spans="1:8" ht="16.5" x14ac:dyDescent="0.3">
      <c r="A43" s="4"/>
      <c r="B43" s="13" t="s">
        <v>37</v>
      </c>
      <c r="C43" s="18">
        <f>C25+SUM(C28:C42)</f>
        <v>0</v>
      </c>
      <c r="D43" s="13" t="e">
        <f t="shared" si="2"/>
        <v>#DIV/0!</v>
      </c>
      <c r="E43" s="18">
        <f>E25+SUM(E28:E42)</f>
        <v>0</v>
      </c>
      <c r="F43" s="13" t="e">
        <f t="shared" si="3"/>
        <v>#DIV/0!</v>
      </c>
      <c r="G43" s="18">
        <f>G25+SUM(G28:G42)</f>
        <v>0</v>
      </c>
      <c r="H43" s="13" t="e">
        <f t="shared" si="4"/>
        <v>#DIV/0!</v>
      </c>
    </row>
    <row r="44" spans="1:8" ht="16.5" x14ac:dyDescent="0.3">
      <c r="C44" s="20"/>
      <c r="D44" s="21"/>
      <c r="E44" s="1"/>
    </row>
    <row r="45" spans="1:8" ht="16.5" x14ac:dyDescent="0.3">
      <c r="A45" s="4" t="s">
        <v>38</v>
      </c>
    </row>
    <row r="46" spans="1:8" ht="16.5" x14ac:dyDescent="0.3">
      <c r="B46" s="22" t="s">
        <v>39</v>
      </c>
      <c r="C46" s="23">
        <v>0</v>
      </c>
      <c r="D46" s="22"/>
    </row>
    <row r="47" spans="1:8" ht="16.5" x14ac:dyDescent="0.3">
      <c r="B47" s="22" t="s">
        <v>40</v>
      </c>
      <c r="C47" s="23">
        <v>0</v>
      </c>
      <c r="D47" s="22"/>
    </row>
    <row r="48" spans="1:8" x14ac:dyDescent="0.25">
      <c r="B48" s="22"/>
      <c r="C48" s="22"/>
      <c r="D48" s="22"/>
    </row>
    <row r="49" spans="1:13" ht="16.5" x14ac:dyDescent="0.3">
      <c r="A49" s="4" t="s">
        <v>41</v>
      </c>
      <c r="B49" s="22"/>
      <c r="C49" s="22"/>
      <c r="D49" s="22"/>
    </row>
    <row r="50" spans="1:13" ht="16.5" x14ac:dyDescent="0.3">
      <c r="B50" s="22" t="s">
        <v>39</v>
      </c>
      <c r="C50" s="23">
        <v>0</v>
      </c>
      <c r="D50" s="22"/>
    </row>
    <row r="51" spans="1:13" ht="16.5" x14ac:dyDescent="0.3">
      <c r="B51" s="22" t="s">
        <v>42</v>
      </c>
      <c r="C51" s="23">
        <v>0</v>
      </c>
      <c r="D51" s="22"/>
    </row>
    <row r="53" spans="1:13" x14ac:dyDescent="0.25">
      <c r="K53" s="1"/>
      <c r="L53" s="24"/>
    </row>
    <row r="54" spans="1:13" s="25" customFormat="1" ht="18.75" x14ac:dyDescent="0.3">
      <c r="A54" s="485" t="s">
        <v>43</v>
      </c>
      <c r="B54" s="485"/>
      <c r="C54" s="485"/>
      <c r="D54" s="485"/>
      <c r="E54" s="485"/>
      <c r="F54" s="485"/>
      <c r="G54" s="485"/>
      <c r="H54" s="485"/>
      <c r="I54" s="485"/>
      <c r="J54" s="486"/>
      <c r="L54" s="1"/>
    </row>
    <row r="55" spans="1:13" ht="16.5" thickBot="1" x14ac:dyDescent="0.3">
      <c r="M55" s="26"/>
    </row>
    <row r="56" spans="1:13" s="29" customFormat="1" ht="50.25" customHeight="1" x14ac:dyDescent="0.3">
      <c r="A56" s="27" t="str">
        <f>IF(C4="R","Units","Suite")</f>
        <v>Units</v>
      </c>
      <c r="B56" s="27" t="s">
        <v>44</v>
      </c>
      <c r="C56" s="27" t="str">
        <f>IF(C4="R","Unit SF","Net Lease SF")</f>
        <v>Unit SF</v>
      </c>
      <c r="D56" s="27" t="s">
        <v>45</v>
      </c>
      <c r="E56" s="28" t="s">
        <v>46</v>
      </c>
      <c r="F56" s="27" t="str">
        <f>IF($C$4="R","Monthly PSF","Annual PSF")</f>
        <v>Monthly PSF</v>
      </c>
      <c r="G56" s="28" t="s">
        <v>47</v>
      </c>
      <c r="H56" s="27" t="str">
        <f>IF($C$4="R","Monthly PSF","Annual PSF")</f>
        <v>Monthly PSF</v>
      </c>
      <c r="I56" s="28" t="s">
        <v>48</v>
      </c>
      <c r="J56" s="27" t="str">
        <f>IF($C$4="R","Monthly PSF","Annual PSF")</f>
        <v>Monthly PSF</v>
      </c>
      <c r="K56" s="28" t="s">
        <v>49</v>
      </c>
      <c r="L56" s="27" t="str">
        <f>IF($C$4="R","Monthly PSF","Annual PSF")</f>
        <v>Monthly PSF</v>
      </c>
    </row>
    <row r="57" spans="1:13" ht="18.75" customHeight="1" x14ac:dyDescent="0.3">
      <c r="A57" s="30">
        <v>0</v>
      </c>
      <c r="B57" s="31">
        <v>0</v>
      </c>
      <c r="C57" s="32">
        <v>0</v>
      </c>
      <c r="D57" s="33">
        <f t="shared" ref="D57:D76" si="7">IF($C$4="R",C57*A57,C57)</f>
        <v>0</v>
      </c>
      <c r="E57" s="34">
        <v>0</v>
      </c>
      <c r="F57" s="35" t="e">
        <f>IF($C$5="R",E57/$C57,E57)</f>
        <v>#DIV/0!</v>
      </c>
      <c r="G57" s="36">
        <v>0</v>
      </c>
      <c r="H57" s="35" t="e">
        <f>IF($C$5="R",G57/$C57,G57)</f>
        <v>#DIV/0!</v>
      </c>
      <c r="I57" s="37">
        <f t="shared" ref="I57:I76" si="8">G57*(1+$C$46)</f>
        <v>0</v>
      </c>
      <c r="J57" s="35" t="e">
        <f>IF($C$5="R",I57/$C57,I57)</f>
        <v>#DIV/0!</v>
      </c>
      <c r="K57" s="38">
        <f t="shared" ref="K57:K76" si="9">I57*(1+$C$47)</f>
        <v>0</v>
      </c>
      <c r="L57" s="35" t="e">
        <f>IF($C$5="R",K57/$C57,K57)</f>
        <v>#DIV/0!</v>
      </c>
    </row>
    <row r="58" spans="1:13" ht="18.75" customHeight="1" x14ac:dyDescent="0.3">
      <c r="A58" s="30">
        <v>0</v>
      </c>
      <c r="B58" s="31">
        <v>0</v>
      </c>
      <c r="C58" s="32">
        <v>0</v>
      </c>
      <c r="D58" s="33">
        <f t="shared" si="7"/>
        <v>0</v>
      </c>
      <c r="E58" s="34">
        <v>0</v>
      </c>
      <c r="F58" s="35" t="e">
        <f t="shared" ref="F58:F65" si="10">IF($C$5="R",E58/$C58,E58)</f>
        <v>#DIV/0!</v>
      </c>
      <c r="G58" s="36">
        <v>0</v>
      </c>
      <c r="H58" s="35" t="e">
        <f t="shared" ref="H58:H65" si="11">IF($C$5="R",G58/$C58,G58)</f>
        <v>#DIV/0!</v>
      </c>
      <c r="I58" s="37">
        <f t="shared" si="8"/>
        <v>0</v>
      </c>
      <c r="J58" s="35" t="e">
        <f t="shared" ref="J58:J65" si="12">IF($C$5="R",I58/$C58,I58)</f>
        <v>#DIV/0!</v>
      </c>
      <c r="K58" s="38">
        <f t="shared" si="9"/>
        <v>0</v>
      </c>
      <c r="L58" s="35" t="e">
        <f t="shared" ref="L58:L65" si="13">IF($C$5="R",K58/$C58,K58)</f>
        <v>#DIV/0!</v>
      </c>
    </row>
    <row r="59" spans="1:13" ht="18.75" hidden="1" customHeight="1" x14ac:dyDescent="0.3">
      <c r="A59" s="30"/>
      <c r="B59" s="31"/>
      <c r="C59" s="32"/>
      <c r="D59" s="33">
        <f t="shared" si="7"/>
        <v>0</v>
      </c>
      <c r="E59" s="34"/>
      <c r="F59" s="35" t="e">
        <f t="shared" si="10"/>
        <v>#DIV/0!</v>
      </c>
      <c r="G59" s="36"/>
      <c r="H59" s="35" t="e">
        <f t="shared" si="11"/>
        <v>#DIV/0!</v>
      </c>
      <c r="I59" s="37">
        <f t="shared" si="8"/>
        <v>0</v>
      </c>
      <c r="J59" s="35" t="e">
        <f t="shared" si="12"/>
        <v>#DIV/0!</v>
      </c>
      <c r="K59" s="38">
        <f t="shared" si="9"/>
        <v>0</v>
      </c>
      <c r="L59" s="35" t="e">
        <f t="shared" si="13"/>
        <v>#DIV/0!</v>
      </c>
    </row>
    <row r="60" spans="1:13" ht="18.75" hidden="1" customHeight="1" x14ac:dyDescent="0.3">
      <c r="A60" s="30"/>
      <c r="B60" s="31"/>
      <c r="C60" s="32"/>
      <c r="D60" s="33">
        <f t="shared" si="7"/>
        <v>0</v>
      </c>
      <c r="E60" s="34"/>
      <c r="F60" s="35" t="e">
        <f t="shared" si="10"/>
        <v>#DIV/0!</v>
      </c>
      <c r="G60" s="36"/>
      <c r="H60" s="35" t="e">
        <f t="shared" si="11"/>
        <v>#DIV/0!</v>
      </c>
      <c r="I60" s="37">
        <f t="shared" si="8"/>
        <v>0</v>
      </c>
      <c r="J60" s="35" t="e">
        <f t="shared" si="12"/>
        <v>#DIV/0!</v>
      </c>
      <c r="K60" s="38">
        <f t="shared" si="9"/>
        <v>0</v>
      </c>
      <c r="L60" s="35" t="e">
        <f t="shared" si="13"/>
        <v>#DIV/0!</v>
      </c>
    </row>
    <row r="61" spans="1:13" ht="18.75" hidden="1" customHeight="1" x14ac:dyDescent="0.3">
      <c r="A61" s="30"/>
      <c r="B61" s="31"/>
      <c r="C61" s="32"/>
      <c r="D61" s="33">
        <f t="shared" si="7"/>
        <v>0</v>
      </c>
      <c r="E61" s="34"/>
      <c r="F61" s="35" t="e">
        <f t="shared" si="10"/>
        <v>#DIV/0!</v>
      </c>
      <c r="G61" s="36"/>
      <c r="H61" s="35" t="e">
        <f t="shared" si="11"/>
        <v>#DIV/0!</v>
      </c>
      <c r="I61" s="37">
        <f>G61*(1+$C$46)</f>
        <v>0</v>
      </c>
      <c r="J61" s="35" t="e">
        <f t="shared" si="12"/>
        <v>#DIV/0!</v>
      </c>
      <c r="K61" s="38">
        <f>I61*(1+$C$47)</f>
        <v>0</v>
      </c>
      <c r="L61" s="35" t="e">
        <f t="shared" si="13"/>
        <v>#DIV/0!</v>
      </c>
    </row>
    <row r="62" spans="1:13" ht="18.75" hidden="1" customHeight="1" x14ac:dyDescent="0.3">
      <c r="A62" s="30"/>
      <c r="B62" s="31"/>
      <c r="C62" s="32"/>
      <c r="D62" s="33">
        <f t="shared" si="7"/>
        <v>0</v>
      </c>
      <c r="E62" s="34"/>
      <c r="F62" s="35" t="e">
        <f t="shared" si="10"/>
        <v>#DIV/0!</v>
      </c>
      <c r="G62" s="36"/>
      <c r="H62" s="35" t="e">
        <f t="shared" si="11"/>
        <v>#DIV/0!</v>
      </c>
      <c r="I62" s="37">
        <f>G62*(1+$C$46)</f>
        <v>0</v>
      </c>
      <c r="J62" s="35" t="e">
        <f t="shared" si="12"/>
        <v>#DIV/0!</v>
      </c>
      <c r="K62" s="38">
        <f>I62*(1+$C$47)</f>
        <v>0</v>
      </c>
      <c r="L62" s="35" t="e">
        <f t="shared" si="13"/>
        <v>#DIV/0!</v>
      </c>
    </row>
    <row r="63" spans="1:13" ht="18.75" hidden="1" customHeight="1" x14ac:dyDescent="0.3">
      <c r="A63" s="30"/>
      <c r="B63" s="31"/>
      <c r="C63" s="32"/>
      <c r="D63" s="33">
        <f t="shared" si="7"/>
        <v>0</v>
      </c>
      <c r="E63" s="34"/>
      <c r="F63" s="35" t="e">
        <f t="shared" si="10"/>
        <v>#DIV/0!</v>
      </c>
      <c r="G63" s="36"/>
      <c r="H63" s="35" t="e">
        <f t="shared" si="11"/>
        <v>#DIV/0!</v>
      </c>
      <c r="I63" s="37">
        <f>G63*(1+$C$46)</f>
        <v>0</v>
      </c>
      <c r="J63" s="35" t="e">
        <f t="shared" si="12"/>
        <v>#DIV/0!</v>
      </c>
      <c r="K63" s="38">
        <f>I63*(1+$C$47)</f>
        <v>0</v>
      </c>
      <c r="L63" s="35" t="e">
        <f t="shared" si="13"/>
        <v>#DIV/0!</v>
      </c>
    </row>
    <row r="64" spans="1:13" ht="18.75" hidden="1" customHeight="1" x14ac:dyDescent="0.3">
      <c r="A64" s="30"/>
      <c r="B64" s="31"/>
      <c r="C64" s="32"/>
      <c r="D64" s="33">
        <f t="shared" si="7"/>
        <v>0</v>
      </c>
      <c r="E64" s="34"/>
      <c r="F64" s="35" t="e">
        <f t="shared" si="10"/>
        <v>#DIV/0!</v>
      </c>
      <c r="G64" s="36"/>
      <c r="H64" s="35" t="e">
        <f t="shared" si="11"/>
        <v>#DIV/0!</v>
      </c>
      <c r="I64" s="37">
        <f>G64*(1+$C$46)</f>
        <v>0</v>
      </c>
      <c r="J64" s="35" t="e">
        <f t="shared" si="12"/>
        <v>#DIV/0!</v>
      </c>
      <c r="K64" s="38">
        <f>I64*(1+$C$47)</f>
        <v>0</v>
      </c>
      <c r="L64" s="35" t="e">
        <f t="shared" si="13"/>
        <v>#DIV/0!</v>
      </c>
    </row>
    <row r="65" spans="1:14" ht="18.75" hidden="1" customHeight="1" x14ac:dyDescent="0.3">
      <c r="A65" s="30"/>
      <c r="B65" s="31"/>
      <c r="C65" s="32"/>
      <c r="D65" s="33">
        <f t="shared" si="7"/>
        <v>0</v>
      </c>
      <c r="E65" s="34"/>
      <c r="F65" s="35" t="e">
        <f t="shared" si="10"/>
        <v>#DIV/0!</v>
      </c>
      <c r="G65" s="36"/>
      <c r="H65" s="35" t="e">
        <f t="shared" si="11"/>
        <v>#DIV/0!</v>
      </c>
      <c r="I65" s="37">
        <f t="shared" si="8"/>
        <v>0</v>
      </c>
      <c r="J65" s="35" t="e">
        <f t="shared" si="12"/>
        <v>#DIV/0!</v>
      </c>
      <c r="K65" s="38">
        <f t="shared" si="9"/>
        <v>0</v>
      </c>
      <c r="L65" s="35" t="e">
        <f t="shared" si="13"/>
        <v>#DIV/0!</v>
      </c>
    </row>
    <row r="66" spans="1:14" ht="18.75" customHeight="1" outlineLevel="1" x14ac:dyDescent="0.3">
      <c r="A66" s="30"/>
      <c r="B66" s="31"/>
      <c r="C66" s="32"/>
      <c r="D66" s="33">
        <f t="shared" si="7"/>
        <v>0</v>
      </c>
      <c r="E66" s="34"/>
      <c r="F66" s="35" t="e">
        <f t="shared" ref="F66:F76" si="14">IF($C$5="R",E66/$C66*12,E66)</f>
        <v>#DIV/0!</v>
      </c>
      <c r="G66" s="36"/>
      <c r="H66" s="35" t="e">
        <f t="shared" ref="H66:H76" si="15">IF($C$5="R",G66/$C66*12,G66)</f>
        <v>#DIV/0!</v>
      </c>
      <c r="I66" s="37">
        <f t="shared" si="8"/>
        <v>0</v>
      </c>
      <c r="J66" s="35" t="e">
        <f t="shared" ref="J66:J76" si="16">IF($C$5="R",I66/$C66*12,I66)</f>
        <v>#DIV/0!</v>
      </c>
      <c r="K66" s="38">
        <f t="shared" si="9"/>
        <v>0</v>
      </c>
      <c r="L66" s="35" t="e">
        <f t="shared" ref="L66:L76" si="17">IF($C$5="R",K66/$C66*12,K66)</f>
        <v>#DIV/0!</v>
      </c>
    </row>
    <row r="67" spans="1:14" ht="18.75" customHeight="1" outlineLevel="1" x14ac:dyDescent="0.3">
      <c r="A67" s="30"/>
      <c r="B67" s="31"/>
      <c r="C67" s="32"/>
      <c r="D67" s="33">
        <f t="shared" si="7"/>
        <v>0</v>
      </c>
      <c r="E67" s="34"/>
      <c r="F67" s="35" t="e">
        <f t="shared" si="14"/>
        <v>#DIV/0!</v>
      </c>
      <c r="G67" s="36"/>
      <c r="H67" s="35" t="e">
        <f t="shared" si="15"/>
        <v>#DIV/0!</v>
      </c>
      <c r="I67" s="37">
        <f t="shared" si="8"/>
        <v>0</v>
      </c>
      <c r="J67" s="35" t="e">
        <f t="shared" si="16"/>
        <v>#DIV/0!</v>
      </c>
      <c r="K67" s="38">
        <f t="shared" si="9"/>
        <v>0</v>
      </c>
      <c r="L67" s="35" t="e">
        <f t="shared" si="17"/>
        <v>#DIV/0!</v>
      </c>
    </row>
    <row r="68" spans="1:14" ht="18.75" customHeight="1" outlineLevel="1" x14ac:dyDescent="0.3">
      <c r="A68" s="30"/>
      <c r="B68" s="31"/>
      <c r="C68" s="32"/>
      <c r="D68" s="33">
        <f t="shared" si="7"/>
        <v>0</v>
      </c>
      <c r="E68" s="34"/>
      <c r="F68" s="35" t="e">
        <f t="shared" si="14"/>
        <v>#DIV/0!</v>
      </c>
      <c r="G68" s="36"/>
      <c r="H68" s="35" t="e">
        <f t="shared" si="15"/>
        <v>#DIV/0!</v>
      </c>
      <c r="I68" s="37">
        <f t="shared" si="8"/>
        <v>0</v>
      </c>
      <c r="J68" s="35" t="e">
        <f t="shared" si="16"/>
        <v>#DIV/0!</v>
      </c>
      <c r="K68" s="38">
        <f t="shared" si="9"/>
        <v>0</v>
      </c>
      <c r="L68" s="35" t="e">
        <f t="shared" si="17"/>
        <v>#DIV/0!</v>
      </c>
    </row>
    <row r="69" spans="1:14" ht="18.75" customHeight="1" outlineLevel="1" x14ac:dyDescent="0.3">
      <c r="A69" s="30"/>
      <c r="B69" s="31"/>
      <c r="C69" s="32"/>
      <c r="D69" s="33">
        <f t="shared" si="7"/>
        <v>0</v>
      </c>
      <c r="E69" s="34"/>
      <c r="F69" s="35" t="e">
        <f t="shared" si="14"/>
        <v>#DIV/0!</v>
      </c>
      <c r="G69" s="36"/>
      <c r="H69" s="35" t="e">
        <f t="shared" si="15"/>
        <v>#DIV/0!</v>
      </c>
      <c r="I69" s="37">
        <f t="shared" si="8"/>
        <v>0</v>
      </c>
      <c r="J69" s="35" t="e">
        <f t="shared" si="16"/>
        <v>#DIV/0!</v>
      </c>
      <c r="K69" s="38">
        <f t="shared" si="9"/>
        <v>0</v>
      </c>
      <c r="L69" s="35" t="e">
        <f t="shared" si="17"/>
        <v>#DIV/0!</v>
      </c>
    </row>
    <row r="70" spans="1:14" ht="18.75" customHeight="1" outlineLevel="1" x14ac:dyDescent="0.3">
      <c r="A70" s="30"/>
      <c r="B70" s="31"/>
      <c r="C70" s="32"/>
      <c r="D70" s="33">
        <f t="shared" si="7"/>
        <v>0</v>
      </c>
      <c r="E70" s="34"/>
      <c r="F70" s="35" t="e">
        <f t="shared" si="14"/>
        <v>#DIV/0!</v>
      </c>
      <c r="G70" s="36"/>
      <c r="H70" s="35" t="e">
        <f t="shared" si="15"/>
        <v>#DIV/0!</v>
      </c>
      <c r="I70" s="37">
        <f t="shared" si="8"/>
        <v>0</v>
      </c>
      <c r="J70" s="35" t="e">
        <f t="shared" si="16"/>
        <v>#DIV/0!</v>
      </c>
      <c r="K70" s="38">
        <f t="shared" si="9"/>
        <v>0</v>
      </c>
      <c r="L70" s="35" t="e">
        <f t="shared" si="17"/>
        <v>#DIV/0!</v>
      </c>
    </row>
    <row r="71" spans="1:14" ht="18.75" customHeight="1" outlineLevel="1" x14ac:dyDescent="0.3">
      <c r="A71" s="30"/>
      <c r="B71" s="31"/>
      <c r="C71" s="32"/>
      <c r="D71" s="33">
        <f t="shared" si="7"/>
        <v>0</v>
      </c>
      <c r="E71" s="34"/>
      <c r="F71" s="35" t="e">
        <f t="shared" si="14"/>
        <v>#DIV/0!</v>
      </c>
      <c r="G71" s="36"/>
      <c r="H71" s="35" t="e">
        <f t="shared" si="15"/>
        <v>#DIV/0!</v>
      </c>
      <c r="I71" s="37">
        <f t="shared" si="8"/>
        <v>0</v>
      </c>
      <c r="J71" s="35" t="e">
        <f t="shared" si="16"/>
        <v>#DIV/0!</v>
      </c>
      <c r="K71" s="38">
        <f t="shared" si="9"/>
        <v>0</v>
      </c>
      <c r="L71" s="35" t="e">
        <f t="shared" si="17"/>
        <v>#DIV/0!</v>
      </c>
    </row>
    <row r="72" spans="1:14" ht="18.75" customHeight="1" outlineLevel="1" x14ac:dyDescent="0.3">
      <c r="A72" s="30"/>
      <c r="B72" s="31"/>
      <c r="C72" s="32"/>
      <c r="D72" s="33">
        <f t="shared" si="7"/>
        <v>0</v>
      </c>
      <c r="E72" s="34"/>
      <c r="F72" s="35" t="e">
        <f t="shared" si="14"/>
        <v>#DIV/0!</v>
      </c>
      <c r="G72" s="36"/>
      <c r="H72" s="35" t="e">
        <f t="shared" si="15"/>
        <v>#DIV/0!</v>
      </c>
      <c r="I72" s="37">
        <f t="shared" si="8"/>
        <v>0</v>
      </c>
      <c r="J72" s="35" t="e">
        <f t="shared" si="16"/>
        <v>#DIV/0!</v>
      </c>
      <c r="K72" s="38">
        <f t="shared" si="9"/>
        <v>0</v>
      </c>
      <c r="L72" s="35" t="e">
        <f t="shared" si="17"/>
        <v>#DIV/0!</v>
      </c>
    </row>
    <row r="73" spans="1:14" ht="18.75" customHeight="1" outlineLevel="1" x14ac:dyDescent="0.3">
      <c r="A73" s="30"/>
      <c r="B73" s="31"/>
      <c r="C73" s="32"/>
      <c r="D73" s="33">
        <f t="shared" si="7"/>
        <v>0</v>
      </c>
      <c r="E73" s="34"/>
      <c r="F73" s="35" t="e">
        <f t="shared" si="14"/>
        <v>#DIV/0!</v>
      </c>
      <c r="G73" s="36"/>
      <c r="H73" s="35" t="e">
        <f t="shared" si="15"/>
        <v>#DIV/0!</v>
      </c>
      <c r="I73" s="37">
        <f t="shared" si="8"/>
        <v>0</v>
      </c>
      <c r="J73" s="35" t="e">
        <f t="shared" si="16"/>
        <v>#DIV/0!</v>
      </c>
      <c r="K73" s="38">
        <f t="shared" si="9"/>
        <v>0</v>
      </c>
      <c r="L73" s="35" t="e">
        <f t="shared" si="17"/>
        <v>#DIV/0!</v>
      </c>
    </row>
    <row r="74" spans="1:14" ht="18.75" customHeight="1" outlineLevel="1" x14ac:dyDescent="0.3">
      <c r="A74" s="30"/>
      <c r="B74" s="31"/>
      <c r="C74" s="32"/>
      <c r="D74" s="33">
        <f t="shared" si="7"/>
        <v>0</v>
      </c>
      <c r="E74" s="34"/>
      <c r="F74" s="35" t="e">
        <f t="shared" si="14"/>
        <v>#DIV/0!</v>
      </c>
      <c r="G74" s="36"/>
      <c r="H74" s="35" t="e">
        <f t="shared" si="15"/>
        <v>#DIV/0!</v>
      </c>
      <c r="I74" s="37">
        <f t="shared" si="8"/>
        <v>0</v>
      </c>
      <c r="J74" s="35" t="e">
        <f t="shared" si="16"/>
        <v>#DIV/0!</v>
      </c>
      <c r="K74" s="38">
        <f t="shared" si="9"/>
        <v>0</v>
      </c>
      <c r="L74" s="35" t="e">
        <f t="shared" si="17"/>
        <v>#DIV/0!</v>
      </c>
    </row>
    <row r="75" spans="1:14" ht="18.75" customHeight="1" outlineLevel="1" x14ac:dyDescent="0.3">
      <c r="A75" s="30"/>
      <c r="B75" s="31"/>
      <c r="C75" s="32"/>
      <c r="D75" s="33">
        <f t="shared" si="7"/>
        <v>0</v>
      </c>
      <c r="E75" s="34"/>
      <c r="F75" s="35" t="e">
        <f t="shared" si="14"/>
        <v>#DIV/0!</v>
      </c>
      <c r="G75" s="36"/>
      <c r="H75" s="35" t="e">
        <f t="shared" si="15"/>
        <v>#DIV/0!</v>
      </c>
      <c r="I75" s="37">
        <f t="shared" si="8"/>
        <v>0</v>
      </c>
      <c r="J75" s="35" t="e">
        <f t="shared" si="16"/>
        <v>#DIV/0!</v>
      </c>
      <c r="K75" s="38">
        <f t="shared" si="9"/>
        <v>0</v>
      </c>
      <c r="L75" s="35" t="e">
        <f t="shared" si="17"/>
        <v>#DIV/0!</v>
      </c>
    </row>
    <row r="76" spans="1:14" ht="18.75" customHeight="1" outlineLevel="1" x14ac:dyDescent="0.3">
      <c r="A76" s="39"/>
      <c r="B76" s="40"/>
      <c r="C76" s="41"/>
      <c r="D76" s="42">
        <f t="shared" si="7"/>
        <v>0</v>
      </c>
      <c r="E76" s="43"/>
      <c r="F76" s="35" t="e">
        <f t="shared" si="14"/>
        <v>#DIV/0!</v>
      </c>
      <c r="G76" s="44"/>
      <c r="H76" s="35" t="e">
        <f t="shared" si="15"/>
        <v>#DIV/0!</v>
      </c>
      <c r="I76" s="45">
        <f t="shared" si="8"/>
        <v>0</v>
      </c>
      <c r="J76" s="35" t="e">
        <f t="shared" si="16"/>
        <v>#DIV/0!</v>
      </c>
      <c r="K76" s="45">
        <f t="shared" si="9"/>
        <v>0</v>
      </c>
      <c r="L76" s="35" t="e">
        <f t="shared" si="17"/>
        <v>#DIV/0!</v>
      </c>
    </row>
    <row r="77" spans="1:14" s="29" customFormat="1" ht="17.25" thickBot="1" x14ac:dyDescent="0.35">
      <c r="A77" s="46">
        <f>IF(C4="R",SUM(A57:A76),"")</f>
        <v>0</v>
      </c>
      <c r="B77" s="46"/>
      <c r="C77" s="47" t="str">
        <f>IF($C$4="r","",SUM(C57:C76))</f>
        <v/>
      </c>
      <c r="D77" s="47">
        <f>SUM(D57:D76)</f>
        <v>0</v>
      </c>
      <c r="E77" s="48" t="str">
        <f>IF($C$5="R",IF($C$4="r","",SUM(E57:E76)),"")</f>
        <v/>
      </c>
      <c r="F77" s="49" t="e">
        <f>IF($C$5="r",IF($C$4="r",((E57*$A57+E58*$A58+E59*$A59+E60*$A60+E61*$A61+E62*$A62+E63*$A63+E64*$A64+E65*$A65+E66*$A66*E67*$A67+E68*$A68+E69*$A69+E70*$A70+E71*$A71+E72*$A72+E73*$A73+E74*$A74+E75*$A75+E76*$A76)/$D77*12),E77/$C77*12),(E78/$D77))</f>
        <v>#DIV/0!</v>
      </c>
      <c r="G77" s="48" t="str">
        <f>IF($C$5="R",IF($C$4="r","",SUM(G57:G76)),"")</f>
        <v/>
      </c>
      <c r="H77" s="49" t="e">
        <f>IF($C$5="r",IF($C$4="r",((G57*$A57+G58*$A58+G59*$A59+G60*$A60+G61*$A61+G62*$A62+G63*$A63+G64*$A64+G65*$A65+G66*$A66*G67*$A67+G68*$A68+G69*$A69+G70*$A70+G71*$A71+G72*$A72+G73*$A73+G74*$A74+G75*$A75+G76*$A76)/$D77*12),G77/$C77*12),(G78/$D77))</f>
        <v>#DIV/0!</v>
      </c>
      <c r="I77" s="48" t="str">
        <f>IF($C$5="R",IF($C$4="r","",SUM(I57:I76)),"")</f>
        <v/>
      </c>
      <c r="J77" s="49" t="e">
        <f>IF($C$5="r",IF($C$4="r",((I57*$A57+I58*$A58+I59*$A59+I60*$A60+I61*$A61+I62*$A62+I63*$A63+I64*$A64+I65*$A65+I66*$A66*I67*$A67+I68*$A68+I69*$A69+I70*$A70+I71*$A71+I72*$A72+I73*$A73+I74*$A74+I75*$A75+I76*$A76)/$D77*12),I77/$C77*12),(I78/$D77))</f>
        <v>#DIV/0!</v>
      </c>
      <c r="K77" s="48" t="str">
        <f>IF($C$5="R",IF($C$4="r","",SUM(K57:K76)),"")</f>
        <v/>
      </c>
      <c r="L77" s="49" t="e">
        <f>IF($C$5="r",IF($C$4="r",((K57*$A57+K58*$A58+K59*$A59+K60*$A60+K61*$A61+K62*$A62+K63*$A63+K64*$A64+K65*$A65+K66*$A66*K67*$A67+K68*$A68+K69*$A69+K70*$A70+K71*$A71+K72*$A72+K73*$A73+K74*$A74+K75*$A75+K76*$A76)/$D77*12),K77/$C77*12),(K78/$D77))</f>
        <v>#DIV/0!</v>
      </c>
    </row>
    <row r="78" spans="1:14" s="29" customFormat="1" ht="17.25" thickBot="1" x14ac:dyDescent="0.35">
      <c r="A78" s="50"/>
      <c r="B78" s="51"/>
      <c r="C78" s="52"/>
      <c r="D78" s="53" t="s">
        <v>52</v>
      </c>
      <c r="E78" s="54">
        <f>IF($C$5="r",IF($C$4="r",(E57*$A57+E58*$A58+E59*$A59+E60*$A60+E61*$A61+E62*$A62+E63*$A63+E64*$A64+E65*$A65+E66*$A66+E67*$A67+E68*$A68+E69*$A69+E70*$A70+E71*$A71+E72*$A72+E73*$A73+E74*$A74+E75*$A75+E76*$A76),SUM(E57:E76)),IF($C$4="c",((E57*$C57+E58*$C58+E59*$C59+E60*$C60+E61*$C61+E62*$C62+E63*$C63+E64*$C64+E65*$C65+E66*$C66+E67*$C67+E68*$C68+E69*$C69+E70*$C70+E71*$C71+E72*$C72+E73*$C73+E74*$C74+E75*$C75+E76*$C76)),((E57*$C57*$A57+E58*$C58*$A58+E59*$C59*$A59+E60*$C60*$A60+E61*$C61*$A61+E62*$C62*$A62+E63*$C63*$A63+E64*$C64*$A64+E65*$C65*$A65+E66*$C66*$A66+E67*$C67*$A67+E68*$C68*$A68+E69*$C69*$A69+E70*$C70*$A70+E71*$C71*$A71+E72*$C72*$A72+E73*$C73*$A73+E74*$C74*$A74+E75*$C75*$A75+E76*$C76*$A76))))</f>
        <v>0</v>
      </c>
      <c r="F78" s="55"/>
      <c r="G78" s="54">
        <f>IF($C$5="r",IF($C$4="r",(G57*$A57+G58*$A58+G59*$A59+G60*$A60+G61*$A61+G62*$A62+G63*$A63+G64*$A64+G65*$A65+G66*$A66+G67*$A67+G68*$A68+G69*$A69+G70*$A70+G71*$A71+G72*$A72+G73*$A73+G74*$A74+G75*$A75+G76*$A76),SUM(G57:G76)),IF($C$4="c",((G57*$C57+G58*$C58+G59*$C59+G60*$C60+G61*$C61+G62*$C62+G63*$C63+G64*$C64+G65*$C65+G66*$C66+G67*$C67+G68*$C68+G69*$C69+G70*$C70+G71*$C71+G72*$C72+G73*$C73+G74*$C74+G75*$C75+G76*$C76)),((G57*$C57*$A57+G58*$C58*$A58+G59*$C59*$A59+G60*$C60*$A60+G61*$C61*$A61+G62*$C62*$A62+G63*$C63*$A63+G64*$C64*$A64+G65*$C65*$A65+G66*$C66*$A66+G67*$C67*$A67+G68*$C68*$A68+G69*$C69*$A69+G70*$C70*$A70+G71*$C71*$A71+G72*$C72*$A72+G73*$C73*$A73+G74*$C74*$A74+G75*$C75*$A75+G76*$C76*$A76))))</f>
        <v>0</v>
      </c>
      <c r="H78" s="55"/>
      <c r="I78" s="54">
        <f>IF($C$5="r",IF($C$4="r",(I57*$A57+I58*$A58+I59*$A59+I60*$A60+I61*$A61+I62*$A62+I63*$A63+I64*$A64+I65*$A65+I66*$A66+I67*$A67+I68*$A68+I69*$A69+I70*$A70+I71*$A71+I72*$A72+I73*$A73+I74*$A74+I75*$A75+I76*$A76),SUM(I57:I76)),IF($C$4="c",((I57*$C57+I58*$C58+I59*$C59+I60*$C60+I61*$C61+I62*$C62+I63*$C63+I64*$C64+I65*$C65+I66*$C66+I67*$C67+I68*$C68+I69*$C69+I70*$C70+I71*$C71+I72*$C72+I73*$C73+I74*$C74+I75*$C75+I76*$C76)),((I57*$C57*$A57+I58*$C58*$A58+I59*$C59*$A59+I60*$C60*$A60+I61*$C61*$A61+I62*$C62*$A62+I63*$C63*$A63+I64*$C64*$A64+I65*$C65*$A65+I66*$C66*$A66+I67*$C67*$A67+I68*$C68*$A68+I69*$C69*$A69+I70*$C70*$A70+I71*$C71*$A71+I72*$C72*$A72+I73*$C73*$A73+I74*$C74*$A74+I75*$C75*$A75+I76*$C76*$A76))))</f>
        <v>0</v>
      </c>
      <c r="J78" s="55"/>
      <c r="K78" s="54">
        <f>IF($C$5="r",IF($C$4="r",(K57*$A57+K58*$A58+K59*$A59+K60*$A60+K61*$A61+K62*$A62+K63*$A63+K64*$A64+K65*$A65+K66*$A66+K67*$A67+K68*$A68+K69*$A69+K70*$A70+K71*$A71+K72*$A72+K73*$A73+K74*$A74+K75*$A75+K76*$A76),SUM(K57:K76)),IF($C$4="c",((K57*$C57+K58*$C58+K59*$C59+K60*$C60+K61*$C61+K62*$C62+K63*$C63+K64*$C64+K65*$C65+K66*$C66+K67*$C67+K68*$C68+K69*$C69+K70*$C70+K71*$C71+K72*$C72+K73*$C73+K74*$C74+K75*$C75+K76*$C76)),((K57*$C57*$A57+K58*$C58*$A58+K59*$C59*$A59+K60*$C60*$A60+K61*$C61*$A61+K62*$C62*$A62+K63*$C63*$A63+K64*$C64*$A64+K65*$C65*$A65+K66*$C66*$A66+K67*$C67*$A67+K68*$C68*$A68+K69*$C69*$A69+K70*$C70*$A70+K71*$C71*$A71+K72*$C72*$A72+K73*$C73*$A73+K74*$C74*$A74+K75*$C75*$A75+K76*$C76*$A76))))</f>
        <v>0</v>
      </c>
      <c r="L78" s="55"/>
    </row>
    <row r="79" spans="1:14" ht="15" customHeight="1" thickBot="1" x14ac:dyDescent="0.3">
      <c r="A79" s="22"/>
      <c r="B79" s="22"/>
      <c r="C79" s="22"/>
      <c r="D79" s="22"/>
      <c r="E79" s="17"/>
      <c r="F79" s="17"/>
      <c r="G79" s="17"/>
      <c r="H79" s="17"/>
      <c r="I79" s="17"/>
      <c r="J79" s="17"/>
      <c r="L79" s="3"/>
    </row>
    <row r="80" spans="1:14" s="29" customFormat="1" ht="57" customHeight="1" thickBot="1" x14ac:dyDescent="0.35">
      <c r="A80" s="56" t="s">
        <v>53</v>
      </c>
      <c r="B80" s="57"/>
      <c r="C80" s="58"/>
      <c r="D80" s="59"/>
      <c r="E80" s="483" t="s">
        <v>54</v>
      </c>
      <c r="F80" s="484"/>
      <c r="G80" s="483" t="s">
        <v>55</v>
      </c>
      <c r="H80" s="484"/>
      <c r="I80" s="483" t="s">
        <v>56</v>
      </c>
      <c r="J80" s="484"/>
      <c r="K80" s="483" t="s">
        <v>57</v>
      </c>
      <c r="L80" s="484"/>
      <c r="M80" s="60"/>
      <c r="N80" s="60"/>
    </row>
    <row r="81" spans="1:14" ht="18.75" customHeight="1" x14ac:dyDescent="0.3">
      <c r="A81" s="61" t="s">
        <v>58</v>
      </c>
      <c r="B81" s="62"/>
      <c r="C81" s="62"/>
      <c r="D81" s="63"/>
      <c r="E81" s="64">
        <f>E78*12</f>
        <v>0</v>
      </c>
      <c r="F81" s="65"/>
      <c r="G81" s="64">
        <f>G78*12</f>
        <v>0</v>
      </c>
      <c r="H81" s="65"/>
      <c r="I81" s="64">
        <f>I78*12</f>
        <v>0</v>
      </c>
      <c r="J81" s="66"/>
      <c r="K81" s="64">
        <f>K78*12</f>
        <v>0</v>
      </c>
      <c r="L81" s="67"/>
      <c r="M81" s="68"/>
      <c r="N81" s="2"/>
    </row>
    <row r="82" spans="1:14" ht="18.75" customHeight="1" x14ac:dyDescent="0.25">
      <c r="A82" s="69" t="s">
        <v>59</v>
      </c>
      <c r="B82" s="22"/>
      <c r="C82" s="22"/>
      <c r="D82" s="70"/>
      <c r="E82" s="71">
        <f>-F82*E81</f>
        <v>0</v>
      </c>
      <c r="F82" s="72">
        <v>0</v>
      </c>
      <c r="G82" s="71">
        <f>-H82*G81</f>
        <v>0</v>
      </c>
      <c r="H82" s="72">
        <v>0</v>
      </c>
      <c r="I82" s="71">
        <f>-J82*I81</f>
        <v>0</v>
      </c>
      <c r="J82" s="72">
        <v>0</v>
      </c>
      <c r="K82" s="73">
        <f>-L82*K81</f>
        <v>0</v>
      </c>
      <c r="L82" s="74">
        <v>0</v>
      </c>
      <c r="M82" s="68"/>
      <c r="N82" s="2"/>
    </row>
    <row r="83" spans="1:14" ht="18.75" customHeight="1" x14ac:dyDescent="0.3">
      <c r="A83" s="75" t="s">
        <v>60</v>
      </c>
      <c r="B83" s="76"/>
      <c r="C83" s="76"/>
      <c r="D83" s="77"/>
      <c r="E83" s="78">
        <v>0</v>
      </c>
      <c r="F83" s="79"/>
      <c r="G83" s="80">
        <v>0</v>
      </c>
      <c r="H83" s="79"/>
      <c r="I83" s="80">
        <v>0</v>
      </c>
      <c r="J83" s="81"/>
      <c r="K83" s="82">
        <v>0</v>
      </c>
      <c r="L83" s="83"/>
      <c r="M83" s="68"/>
      <c r="N83" s="2"/>
    </row>
    <row r="84" spans="1:14" s="93" customFormat="1" ht="19.5" customHeight="1" x14ac:dyDescent="0.2">
      <c r="A84" s="84" t="s">
        <v>61</v>
      </c>
      <c r="B84" s="85"/>
      <c r="C84" s="487" t="s">
        <v>62</v>
      </c>
      <c r="D84" s="488"/>
      <c r="E84" s="86">
        <f>SUM(E81:E83)</f>
        <v>0</v>
      </c>
      <c r="F84" s="87"/>
      <c r="G84" s="86">
        <f>SUM(G81:G83)</f>
        <v>0</v>
      </c>
      <c r="H84" s="87"/>
      <c r="I84" s="86">
        <f>SUM(I81:I83)</f>
        <v>0</v>
      </c>
      <c r="J84" s="88"/>
      <c r="K84" s="89">
        <f>SUM(K81:K83)</f>
        <v>0</v>
      </c>
      <c r="L84" s="90"/>
      <c r="M84" s="91"/>
      <c r="N84" s="92"/>
    </row>
    <row r="85" spans="1:14" s="93" customFormat="1" ht="19.5" customHeight="1" x14ac:dyDescent="0.2">
      <c r="A85" s="94" t="s">
        <v>63</v>
      </c>
      <c r="B85" s="85"/>
      <c r="C85" s="95">
        <v>0</v>
      </c>
      <c r="D85" s="96">
        <v>0</v>
      </c>
      <c r="E85" s="97">
        <f>IF($C$85=0,IF($C$4="R",0,(E96+E99+E105+E121+(E126*0.5))),$C$85)</f>
        <v>0</v>
      </c>
      <c r="F85" s="98" t="e">
        <f>D85/D58</f>
        <v>#DIV/0!</v>
      </c>
      <c r="G85" s="99">
        <f>IF($D$85=0,IF($C$4="R",0,(G96+G99+G105+G121+(G126*0.5))),$D$85)</f>
        <v>0</v>
      </c>
      <c r="H85" s="98" t="str">
        <f>IF($C$4="R","",G85/$C$77)</f>
        <v/>
      </c>
      <c r="I85" s="99">
        <f>IF($D$85=0,IF($C$4="R",0,(I96+I99+I105+I121+(I126*0.5))),($G$85*(1+$C50)))</f>
        <v>0</v>
      </c>
      <c r="J85" s="98" t="str">
        <f>IF($C$4="R","",I85/$C$77)</f>
        <v/>
      </c>
      <c r="K85" s="99">
        <f>IF($D$85=0,IF($C$4="R",0,(K96+K99+K105+K121+(K126*0.5))),($I$85*(1+$C51)))</f>
        <v>0</v>
      </c>
      <c r="L85" s="98" t="str">
        <f>IF($C$4="R","",K85/$C$77)</f>
        <v/>
      </c>
      <c r="M85" s="91"/>
      <c r="N85" s="92"/>
    </row>
    <row r="86" spans="1:14" s="93" customFormat="1" ht="19.5" customHeight="1" x14ac:dyDescent="0.2">
      <c r="A86" s="94" t="s">
        <v>64</v>
      </c>
      <c r="B86" s="100"/>
      <c r="C86" s="101"/>
      <c r="D86" s="102"/>
      <c r="E86" s="103"/>
      <c r="F86" s="104"/>
      <c r="G86" s="105"/>
      <c r="H86" s="104"/>
      <c r="I86" s="105"/>
      <c r="J86" s="106"/>
      <c r="K86" s="107"/>
      <c r="L86" s="108"/>
      <c r="M86" s="91"/>
      <c r="N86" s="92"/>
    </row>
    <row r="87" spans="1:14" s="118" customFormat="1" ht="17.25" thickBot="1" x14ac:dyDescent="0.35">
      <c r="A87" s="109" t="s">
        <v>65</v>
      </c>
      <c r="B87" s="110"/>
      <c r="C87" s="111"/>
      <c r="D87" s="112"/>
      <c r="E87" s="113">
        <f>SUM(E84:E86)</f>
        <v>0</v>
      </c>
      <c r="F87" s="114" t="str">
        <f>IF($C$4="R","",F77+F85)</f>
        <v/>
      </c>
      <c r="G87" s="113">
        <f>SUM(G84:G86)</f>
        <v>0</v>
      </c>
      <c r="H87" s="114" t="str">
        <f>IF($C$4="R","",H77+H85)</f>
        <v/>
      </c>
      <c r="I87" s="115">
        <f>SUM(I84:I86)</f>
        <v>0</v>
      </c>
      <c r="J87" s="116" t="str">
        <f>IF($C$4="R","",J77+J85)</f>
        <v/>
      </c>
      <c r="K87" s="115">
        <f>SUM(K84:K86)</f>
        <v>0</v>
      </c>
      <c r="L87" s="116" t="str">
        <f>IF($C$4="R","",L77+L85)</f>
        <v/>
      </c>
      <c r="M87" s="117"/>
      <c r="N87" s="117"/>
    </row>
    <row r="88" spans="1:14" ht="57" customHeight="1" thickBot="1" x14ac:dyDescent="0.35">
      <c r="A88" s="56" t="s">
        <v>66</v>
      </c>
      <c r="B88" s="119"/>
      <c r="C88" s="120"/>
      <c r="D88" s="121"/>
      <c r="E88" s="483" t="s">
        <v>67</v>
      </c>
      <c r="F88" s="484"/>
      <c r="G88" s="483" t="s">
        <v>68</v>
      </c>
      <c r="H88" s="484"/>
      <c r="I88" s="483" t="s">
        <v>69</v>
      </c>
      <c r="J88" s="484"/>
      <c r="K88" s="483" t="s">
        <v>70</v>
      </c>
      <c r="L88" s="484"/>
      <c r="M88" s="2"/>
      <c r="N88" s="2"/>
    </row>
    <row r="89" spans="1:14" s="118" customFormat="1" ht="20.25" customHeight="1" outlineLevel="1" x14ac:dyDescent="0.3">
      <c r="A89" s="122"/>
      <c r="B89" s="123" t="s">
        <v>71</v>
      </c>
      <c r="C89" s="124"/>
      <c r="D89" s="125"/>
      <c r="E89" s="126">
        <v>0</v>
      </c>
      <c r="F89" s="127"/>
      <c r="G89" s="128">
        <v>0</v>
      </c>
      <c r="H89" s="127"/>
      <c r="I89" s="129">
        <f>G89*(1+$C$50)</f>
        <v>0</v>
      </c>
      <c r="J89" s="130"/>
      <c r="K89" s="131">
        <f>I89*(1+$C$51)</f>
        <v>0</v>
      </c>
      <c r="L89" s="132"/>
      <c r="M89" s="117"/>
      <c r="N89" s="117"/>
    </row>
    <row r="90" spans="1:14" s="118" customFormat="1" ht="20.25" customHeight="1" outlineLevel="1" x14ac:dyDescent="0.3">
      <c r="A90" s="122"/>
      <c r="B90" s="123" t="s">
        <v>72</v>
      </c>
      <c r="C90" s="124"/>
      <c r="D90" s="125"/>
      <c r="E90" s="126">
        <v>0</v>
      </c>
      <c r="F90" s="127"/>
      <c r="G90" s="128">
        <v>0</v>
      </c>
      <c r="H90" s="127"/>
      <c r="I90" s="129">
        <f t="shared" ref="I90:I125" si="18">G90*(1+$C$50)</f>
        <v>0</v>
      </c>
      <c r="J90" s="130"/>
      <c r="K90" s="131">
        <f>I90*(1+$C$51)</f>
        <v>0</v>
      </c>
      <c r="L90" s="132"/>
      <c r="M90" s="117"/>
      <c r="N90" s="117"/>
    </row>
    <row r="91" spans="1:14" s="118" customFormat="1" ht="20.25" customHeight="1" outlineLevel="1" x14ac:dyDescent="0.3">
      <c r="A91" s="122"/>
      <c r="B91" s="123" t="s">
        <v>73</v>
      </c>
      <c r="C91" s="124"/>
      <c r="D91" s="125"/>
      <c r="E91" s="126">
        <v>0</v>
      </c>
      <c r="F91" s="127"/>
      <c r="G91" s="128">
        <v>0</v>
      </c>
      <c r="H91" s="127"/>
      <c r="I91" s="129">
        <f t="shared" si="18"/>
        <v>0</v>
      </c>
      <c r="J91" s="130"/>
      <c r="K91" s="131">
        <f>I91*(1+$C$51)</f>
        <v>0</v>
      </c>
      <c r="L91" s="132"/>
      <c r="M91" s="117"/>
      <c r="N91" s="117"/>
    </row>
    <row r="92" spans="1:14" s="118" customFormat="1" ht="20.25" customHeight="1" outlineLevel="1" x14ac:dyDescent="0.3">
      <c r="A92" s="122"/>
      <c r="B92" s="124" t="s">
        <v>74</v>
      </c>
      <c r="C92" s="124"/>
      <c r="D92" s="125"/>
      <c r="E92" s="126"/>
      <c r="F92" s="127"/>
      <c r="G92" s="128">
        <v>0</v>
      </c>
      <c r="H92" s="127"/>
      <c r="I92" s="129">
        <f t="shared" si="18"/>
        <v>0</v>
      </c>
      <c r="J92" s="130"/>
      <c r="K92" s="131">
        <f>I92*(1+$C$51)</f>
        <v>0</v>
      </c>
      <c r="L92" s="132"/>
      <c r="M92" s="117"/>
      <c r="N92" s="117"/>
    </row>
    <row r="93" spans="1:14" ht="20.25" customHeight="1" x14ac:dyDescent="0.25">
      <c r="A93" s="69" t="s">
        <v>75</v>
      </c>
      <c r="B93" s="22"/>
      <c r="C93" s="133"/>
      <c r="D93" s="134"/>
      <c r="E93" s="135">
        <f>SUM(E89:E92)</f>
        <v>0</v>
      </c>
      <c r="F93" s="127" t="e">
        <f>E93/$E$87</f>
        <v>#DIV/0!</v>
      </c>
      <c r="G93" s="135">
        <f>SUM(G89:G92)</f>
        <v>0</v>
      </c>
      <c r="H93" s="127" t="e">
        <f>G93/$G$87</f>
        <v>#DIV/0!</v>
      </c>
      <c r="I93" s="135">
        <f>SUM(I89:I92)</f>
        <v>0</v>
      </c>
      <c r="J93" s="130" t="e">
        <f>I93/$I$87</f>
        <v>#DIV/0!</v>
      </c>
      <c r="K93" s="136">
        <f>SUM(K89:K92)</f>
        <v>0</v>
      </c>
      <c r="L93" s="132" t="e">
        <f>K93/$K$87</f>
        <v>#DIV/0!</v>
      </c>
      <c r="M93" s="2"/>
      <c r="N93" s="2"/>
    </row>
    <row r="94" spans="1:14" ht="20.25" customHeight="1" outlineLevel="1" x14ac:dyDescent="0.3">
      <c r="A94" s="69"/>
      <c r="B94" s="123" t="s">
        <v>76</v>
      </c>
      <c r="C94" s="133"/>
      <c r="D94" s="134"/>
      <c r="E94" s="137">
        <v>0</v>
      </c>
      <c r="F94" s="127"/>
      <c r="G94" s="138">
        <v>0</v>
      </c>
      <c r="H94" s="127"/>
      <c r="I94" s="129">
        <f t="shared" si="18"/>
        <v>0</v>
      </c>
      <c r="J94" s="130"/>
      <c r="K94" s="131">
        <f>I94*(1+$C$51)</f>
        <v>0</v>
      </c>
      <c r="L94" s="132"/>
      <c r="M94" s="2"/>
      <c r="N94" s="2"/>
    </row>
    <row r="95" spans="1:14" ht="20.25" customHeight="1" outlineLevel="1" x14ac:dyDescent="0.3">
      <c r="A95" s="69"/>
      <c r="B95" s="123" t="s">
        <v>77</v>
      </c>
      <c r="C95" s="133"/>
      <c r="D95" s="134"/>
      <c r="E95" s="137">
        <v>0</v>
      </c>
      <c r="F95" s="127"/>
      <c r="G95" s="138">
        <v>0</v>
      </c>
      <c r="H95" s="127"/>
      <c r="I95" s="129">
        <f t="shared" si="18"/>
        <v>0</v>
      </c>
      <c r="J95" s="130"/>
      <c r="K95" s="131">
        <f>I95*(1+$C$51)</f>
        <v>0</v>
      </c>
      <c r="L95" s="132"/>
      <c r="M95" s="2"/>
      <c r="N95" s="2"/>
    </row>
    <row r="96" spans="1:14" ht="20.25" customHeight="1" x14ac:dyDescent="0.25">
      <c r="A96" s="69" t="s">
        <v>78</v>
      </c>
      <c r="B96" s="133"/>
      <c r="C96" s="22"/>
      <c r="D96" s="134"/>
      <c r="E96" s="136">
        <f>SUM(E94:E95)</f>
        <v>0</v>
      </c>
      <c r="F96" s="127" t="e">
        <f>E96/$E$87</f>
        <v>#DIV/0!</v>
      </c>
      <c r="G96" s="136">
        <f>SUM(G94:G95)</f>
        <v>0</v>
      </c>
      <c r="H96" s="127" t="e">
        <f>G96/$G$87</f>
        <v>#DIV/0!</v>
      </c>
      <c r="I96" s="136">
        <f>SUM(I94:I95)</f>
        <v>0</v>
      </c>
      <c r="J96" s="130" t="e">
        <f>I96/$I$87</f>
        <v>#DIV/0!</v>
      </c>
      <c r="K96" s="136">
        <f>SUM(K94:K95)</f>
        <v>0</v>
      </c>
      <c r="L96" s="132" t="e">
        <f>K96/$K$87</f>
        <v>#DIV/0!</v>
      </c>
      <c r="M96" s="2"/>
      <c r="N96" s="2"/>
    </row>
    <row r="97" spans="1:14" ht="20.25" customHeight="1" outlineLevel="1" x14ac:dyDescent="0.3">
      <c r="A97" s="69"/>
      <c r="B97" s="123" t="s">
        <v>79</v>
      </c>
      <c r="C97" s="22"/>
      <c r="D97" s="134"/>
      <c r="E97" s="139">
        <v>0</v>
      </c>
      <c r="F97" s="127"/>
      <c r="G97" s="140">
        <v>0</v>
      </c>
      <c r="H97" s="127"/>
      <c r="I97" s="129">
        <f t="shared" si="18"/>
        <v>0</v>
      </c>
      <c r="J97" s="130"/>
      <c r="K97" s="131">
        <f>I97*(1+$C$51)</f>
        <v>0</v>
      </c>
      <c r="L97" s="132"/>
      <c r="M97" s="2"/>
      <c r="N97" s="2"/>
    </row>
    <row r="98" spans="1:14" ht="20.25" customHeight="1" outlineLevel="1" x14ac:dyDescent="0.3">
      <c r="A98" s="69"/>
      <c r="B98" s="123" t="s">
        <v>80</v>
      </c>
      <c r="C98" s="22"/>
      <c r="D98" s="134"/>
      <c r="E98" s="139">
        <v>0</v>
      </c>
      <c r="F98" s="127"/>
      <c r="G98" s="140">
        <v>0</v>
      </c>
      <c r="H98" s="127"/>
      <c r="I98" s="129">
        <f t="shared" si="18"/>
        <v>0</v>
      </c>
      <c r="J98" s="130"/>
      <c r="K98" s="131">
        <f>I98*(1+$C$51)</f>
        <v>0</v>
      </c>
      <c r="L98" s="132"/>
      <c r="M98" s="2"/>
      <c r="N98" s="2"/>
    </row>
    <row r="99" spans="1:14" ht="20.25" customHeight="1" x14ac:dyDescent="0.25">
      <c r="A99" s="69" t="s">
        <v>72</v>
      </c>
      <c r="B99" s="22"/>
      <c r="C99" s="133"/>
      <c r="D99" s="134"/>
      <c r="E99" s="136">
        <f>SUM(E97:E98)</f>
        <v>0</v>
      </c>
      <c r="F99" s="127" t="e">
        <f>E99/$E$87</f>
        <v>#DIV/0!</v>
      </c>
      <c r="G99" s="136">
        <f>SUM(G97:G98)</f>
        <v>0</v>
      </c>
      <c r="H99" s="127" t="e">
        <f>G99/$G$87</f>
        <v>#DIV/0!</v>
      </c>
      <c r="I99" s="136">
        <f>SUM(I97:I98)</f>
        <v>0</v>
      </c>
      <c r="J99" s="130" t="e">
        <f>I99/$I$87</f>
        <v>#DIV/0!</v>
      </c>
      <c r="K99" s="136">
        <f>SUM(K97:K98)</f>
        <v>0</v>
      </c>
      <c r="L99" s="132" t="e">
        <f>K99/$K$87</f>
        <v>#DIV/0!</v>
      </c>
      <c r="M99" s="2"/>
      <c r="N99" s="2"/>
    </row>
    <row r="100" spans="1:14" ht="20.25" customHeight="1" outlineLevel="1" x14ac:dyDescent="0.3">
      <c r="A100" s="69"/>
      <c r="B100" s="123" t="s">
        <v>81</v>
      </c>
      <c r="C100" s="133"/>
      <c r="D100" s="134"/>
      <c r="E100" s="139">
        <v>0</v>
      </c>
      <c r="F100" s="127"/>
      <c r="G100" s="140">
        <v>0</v>
      </c>
      <c r="H100" s="127"/>
      <c r="I100" s="129">
        <f t="shared" si="18"/>
        <v>0</v>
      </c>
      <c r="J100" s="130"/>
      <c r="K100" s="131">
        <f>I100*(1+$C$51)</f>
        <v>0</v>
      </c>
      <c r="L100" s="132"/>
      <c r="M100" s="2"/>
      <c r="N100" s="2"/>
    </row>
    <row r="101" spans="1:14" ht="20.25" customHeight="1" outlineLevel="1" x14ac:dyDescent="0.3">
      <c r="A101" s="69"/>
      <c r="B101" s="123" t="s">
        <v>82</v>
      </c>
      <c r="C101" s="133"/>
      <c r="D101" s="134"/>
      <c r="E101" s="139">
        <v>0</v>
      </c>
      <c r="F101" s="127"/>
      <c r="G101" s="140">
        <v>0</v>
      </c>
      <c r="H101" s="127"/>
      <c r="I101" s="129">
        <f t="shared" si="18"/>
        <v>0</v>
      </c>
      <c r="J101" s="130"/>
      <c r="K101" s="131">
        <f>I101*(1+$C$51)</f>
        <v>0</v>
      </c>
      <c r="L101" s="132"/>
      <c r="M101" s="2"/>
      <c r="N101" s="2"/>
    </row>
    <row r="102" spans="1:14" ht="20.25" customHeight="1" outlineLevel="1" x14ac:dyDescent="0.3">
      <c r="A102" s="69"/>
      <c r="B102" s="123" t="s">
        <v>83</v>
      </c>
      <c r="C102" s="133"/>
      <c r="D102" s="134"/>
      <c r="E102" s="139">
        <v>0</v>
      </c>
      <c r="F102" s="127"/>
      <c r="G102" s="140">
        <v>0</v>
      </c>
      <c r="H102" s="127"/>
      <c r="I102" s="129">
        <f t="shared" si="18"/>
        <v>0</v>
      </c>
      <c r="J102" s="130"/>
      <c r="K102" s="131">
        <f>I102*(1+$C$51)</f>
        <v>0</v>
      </c>
      <c r="L102" s="132"/>
      <c r="M102" s="2"/>
      <c r="N102" s="2"/>
    </row>
    <row r="103" spans="1:14" ht="20.25" customHeight="1" outlineLevel="1" x14ac:dyDescent="0.3">
      <c r="A103" s="69"/>
      <c r="B103" s="123" t="s">
        <v>84</v>
      </c>
      <c r="C103" s="133"/>
      <c r="D103" s="134"/>
      <c r="E103" s="139">
        <v>0</v>
      </c>
      <c r="F103" s="127"/>
      <c r="G103" s="140">
        <v>0</v>
      </c>
      <c r="H103" s="127"/>
      <c r="I103" s="129">
        <f t="shared" si="18"/>
        <v>0</v>
      </c>
      <c r="J103" s="130"/>
      <c r="K103" s="131">
        <f>I103*(1+$C$51)</f>
        <v>0</v>
      </c>
      <c r="L103" s="132"/>
      <c r="M103" s="2"/>
      <c r="N103" s="2"/>
    </row>
    <row r="104" spans="1:14" ht="20.25" customHeight="1" outlineLevel="1" x14ac:dyDescent="0.3">
      <c r="A104" s="69"/>
      <c r="B104" s="133" t="s">
        <v>74</v>
      </c>
      <c r="C104" s="133"/>
      <c r="D104" s="134"/>
      <c r="E104" s="139">
        <v>0</v>
      </c>
      <c r="F104" s="127"/>
      <c r="G104" s="140">
        <v>0</v>
      </c>
      <c r="H104" s="127"/>
      <c r="I104" s="129">
        <f t="shared" si="18"/>
        <v>0</v>
      </c>
      <c r="J104" s="130"/>
      <c r="K104" s="131">
        <f>I104*(1+$C$51)</f>
        <v>0</v>
      </c>
      <c r="L104" s="132"/>
      <c r="M104" s="2"/>
      <c r="N104" s="2"/>
    </row>
    <row r="105" spans="1:14" ht="20.25" customHeight="1" x14ac:dyDescent="0.25">
      <c r="A105" s="69" t="s">
        <v>24</v>
      </c>
      <c r="B105" s="22"/>
      <c r="C105" s="141"/>
      <c r="D105" s="134"/>
      <c r="E105" s="136">
        <f>SUM(E100:E104)</f>
        <v>0</v>
      </c>
      <c r="F105" s="127" t="e">
        <f>E105/$E$87</f>
        <v>#DIV/0!</v>
      </c>
      <c r="G105" s="136">
        <f>SUM(G100:G104)</f>
        <v>0</v>
      </c>
      <c r="H105" s="127" t="e">
        <f>G105/$G$87</f>
        <v>#DIV/0!</v>
      </c>
      <c r="I105" s="136">
        <f>SUM(I100:I104)</f>
        <v>0</v>
      </c>
      <c r="J105" s="130" t="e">
        <f>I105/$I$87</f>
        <v>#DIV/0!</v>
      </c>
      <c r="K105" s="136">
        <f>SUM(K100:K104)</f>
        <v>0</v>
      </c>
      <c r="L105" s="132" t="e">
        <f>K105/$K$87</f>
        <v>#DIV/0!</v>
      </c>
      <c r="M105" s="2"/>
      <c r="N105" s="2"/>
    </row>
    <row r="106" spans="1:14" ht="20.25" customHeight="1" outlineLevel="1" x14ac:dyDescent="0.3">
      <c r="A106" s="69"/>
      <c r="B106" s="133" t="s">
        <v>85</v>
      </c>
      <c r="C106" s="141"/>
      <c r="D106" s="134"/>
      <c r="E106" s="137">
        <v>0</v>
      </c>
      <c r="F106" s="127"/>
      <c r="G106" s="138">
        <v>0</v>
      </c>
      <c r="H106" s="127"/>
      <c r="I106" s="129">
        <f t="shared" si="18"/>
        <v>0</v>
      </c>
      <c r="J106" s="130"/>
      <c r="K106" s="131">
        <f>I106*(1+$C$51)</f>
        <v>0</v>
      </c>
      <c r="L106" s="132"/>
      <c r="M106" s="2"/>
      <c r="N106" s="2"/>
    </row>
    <row r="107" spans="1:14" ht="20.25" customHeight="1" x14ac:dyDescent="0.25">
      <c r="A107" s="69" t="s">
        <v>85</v>
      </c>
      <c r="B107" s="22"/>
      <c r="C107" s="141"/>
      <c r="D107" s="134"/>
      <c r="E107" s="142">
        <f>SUM(E106)</f>
        <v>0</v>
      </c>
      <c r="F107" s="130" t="e">
        <f>E107/$E$87</f>
        <v>#DIV/0!</v>
      </c>
      <c r="G107" s="142">
        <f>SUM(G106)</f>
        <v>0</v>
      </c>
      <c r="H107" s="127" t="e">
        <f>G107/$G$87</f>
        <v>#DIV/0!</v>
      </c>
      <c r="I107" s="143">
        <f>SUM(I106)</f>
        <v>0</v>
      </c>
      <c r="J107" s="130" t="e">
        <f>I107/$I$87</f>
        <v>#DIV/0!</v>
      </c>
      <c r="K107" s="131">
        <f>SUM(K106)</f>
        <v>0</v>
      </c>
      <c r="L107" s="132" t="e">
        <f>K107/$K$87</f>
        <v>#DIV/0!</v>
      </c>
      <c r="M107" s="2"/>
      <c r="N107" s="2"/>
    </row>
    <row r="108" spans="1:14" ht="20.25" customHeight="1" outlineLevel="1" x14ac:dyDescent="0.3">
      <c r="A108" s="69"/>
      <c r="B108" s="123" t="s">
        <v>86</v>
      </c>
      <c r="C108" s="141"/>
      <c r="D108" s="134"/>
      <c r="E108" s="137">
        <v>0</v>
      </c>
      <c r="F108" s="127"/>
      <c r="G108" s="138">
        <v>0</v>
      </c>
      <c r="H108" s="127"/>
      <c r="I108" s="129">
        <f t="shared" si="18"/>
        <v>0</v>
      </c>
      <c r="J108" s="130"/>
      <c r="K108" s="131">
        <f>I108*(1+$C$51)</f>
        <v>0</v>
      </c>
      <c r="L108" s="132"/>
      <c r="M108" s="2"/>
      <c r="N108" s="2"/>
    </row>
    <row r="109" spans="1:14" ht="20.25" customHeight="1" outlineLevel="1" x14ac:dyDescent="0.3">
      <c r="A109" s="69"/>
      <c r="B109" s="123" t="s">
        <v>87</v>
      </c>
      <c r="C109" s="141"/>
      <c r="D109" s="134"/>
      <c r="E109" s="137">
        <v>0</v>
      </c>
      <c r="F109" s="127"/>
      <c r="G109" s="138">
        <v>0</v>
      </c>
      <c r="H109" s="127"/>
      <c r="I109" s="129">
        <f t="shared" si="18"/>
        <v>0</v>
      </c>
      <c r="J109" s="130"/>
      <c r="K109" s="131">
        <f>I109*(1+$C$51)</f>
        <v>0</v>
      </c>
      <c r="L109" s="132"/>
      <c r="M109" s="2"/>
      <c r="N109" s="2"/>
    </row>
    <row r="110" spans="1:14" ht="20.25" customHeight="1" outlineLevel="1" x14ac:dyDescent="0.3">
      <c r="A110" s="69"/>
      <c r="B110" s="123" t="s">
        <v>88</v>
      </c>
      <c r="C110" s="141"/>
      <c r="D110" s="134"/>
      <c r="E110" s="137">
        <v>0</v>
      </c>
      <c r="F110" s="127"/>
      <c r="G110" s="138">
        <v>0</v>
      </c>
      <c r="H110" s="127"/>
      <c r="I110" s="129">
        <f t="shared" si="18"/>
        <v>0</v>
      </c>
      <c r="J110" s="130"/>
      <c r="K110" s="131">
        <f>I110*(1+$C$51)</f>
        <v>0</v>
      </c>
      <c r="L110" s="132"/>
      <c r="M110" s="2"/>
      <c r="N110" s="2"/>
    </row>
    <row r="111" spans="1:14" ht="20.25" customHeight="1" outlineLevel="1" x14ac:dyDescent="0.3">
      <c r="A111" s="69"/>
      <c r="B111" s="123" t="s">
        <v>89</v>
      </c>
      <c r="C111" s="141"/>
      <c r="D111" s="134"/>
      <c r="E111" s="137">
        <v>0</v>
      </c>
      <c r="F111" s="127"/>
      <c r="G111" s="138">
        <v>0</v>
      </c>
      <c r="H111" s="127"/>
      <c r="I111" s="129">
        <f t="shared" si="18"/>
        <v>0</v>
      </c>
      <c r="J111" s="130"/>
      <c r="K111" s="131">
        <f>I111*(1+$C$51)</f>
        <v>0</v>
      </c>
      <c r="L111" s="132"/>
      <c r="M111" s="2"/>
      <c r="N111" s="2"/>
    </row>
    <row r="112" spans="1:14" ht="20.25" customHeight="1" x14ac:dyDescent="0.25">
      <c r="A112" s="69" t="s">
        <v>90</v>
      </c>
      <c r="B112" s="124"/>
      <c r="C112" s="22"/>
      <c r="D112" s="134"/>
      <c r="E112" s="135">
        <f>SUM(E108:E111)</f>
        <v>0</v>
      </c>
      <c r="F112" s="127" t="e">
        <f>E112/$E$87</f>
        <v>#DIV/0!</v>
      </c>
      <c r="G112" s="135">
        <f>SUM(G108:G111)</f>
        <v>0</v>
      </c>
      <c r="H112" s="127" t="e">
        <f>G112/$G$87</f>
        <v>#DIV/0!</v>
      </c>
      <c r="I112" s="135">
        <f>SUM(I108:I111)</f>
        <v>0</v>
      </c>
      <c r="J112" s="130" t="e">
        <f>I112/$I$87</f>
        <v>#DIV/0!</v>
      </c>
      <c r="K112" s="136">
        <f>SUM(K108:K111)</f>
        <v>0</v>
      </c>
      <c r="L112" s="132" t="e">
        <f>K112/$K$87</f>
        <v>#DIV/0!</v>
      </c>
      <c r="M112" s="2"/>
      <c r="N112" s="2"/>
    </row>
    <row r="113" spans="1:14" ht="20.25" customHeight="1" outlineLevel="1" x14ac:dyDescent="0.3">
      <c r="A113" s="69"/>
      <c r="B113" s="123" t="s">
        <v>91</v>
      </c>
      <c r="C113" s="22"/>
      <c r="D113" s="134"/>
      <c r="E113" s="137">
        <v>0</v>
      </c>
      <c r="F113" s="127"/>
      <c r="G113" s="138">
        <v>0</v>
      </c>
      <c r="H113" s="127"/>
      <c r="I113" s="129">
        <f t="shared" si="18"/>
        <v>0</v>
      </c>
      <c r="J113" s="130"/>
      <c r="K113" s="131">
        <f>I113*(1+$C$51)</f>
        <v>0</v>
      </c>
      <c r="L113" s="132"/>
      <c r="M113" s="2"/>
      <c r="N113" s="2"/>
    </row>
    <row r="114" spans="1:14" ht="20.25" customHeight="1" outlineLevel="1" x14ac:dyDescent="0.3">
      <c r="A114" s="69"/>
      <c r="B114" s="123" t="s">
        <v>92</v>
      </c>
      <c r="C114" s="22"/>
      <c r="D114" s="134"/>
      <c r="E114" s="137">
        <v>0</v>
      </c>
      <c r="F114" s="127"/>
      <c r="G114" s="138">
        <v>0</v>
      </c>
      <c r="H114" s="127"/>
      <c r="I114" s="129">
        <f t="shared" si="18"/>
        <v>0</v>
      </c>
      <c r="J114" s="130"/>
      <c r="K114" s="131">
        <f>I114*(1+$C$51)</f>
        <v>0</v>
      </c>
      <c r="L114" s="132"/>
      <c r="M114" s="2"/>
      <c r="N114" s="2"/>
    </row>
    <row r="115" spans="1:14" ht="20.25" customHeight="1" x14ac:dyDescent="0.25">
      <c r="A115" s="69" t="s">
        <v>93</v>
      </c>
      <c r="B115" s="124"/>
      <c r="C115" s="22"/>
      <c r="D115" s="134"/>
      <c r="E115" s="135">
        <f>SUM(E113:E114)</f>
        <v>0</v>
      </c>
      <c r="F115" s="127" t="e">
        <f>E115/$E$87</f>
        <v>#DIV/0!</v>
      </c>
      <c r="G115" s="135">
        <f>SUM(G113:G114)</f>
        <v>0</v>
      </c>
      <c r="H115" s="127" t="e">
        <f>G115/$G$87</f>
        <v>#DIV/0!</v>
      </c>
      <c r="I115" s="135">
        <f>SUM(I113:I114)</f>
        <v>0</v>
      </c>
      <c r="J115" s="130" t="e">
        <f>I115/$I$87</f>
        <v>#DIV/0!</v>
      </c>
      <c r="K115" s="136">
        <f>SUM(K113:K114)</f>
        <v>0</v>
      </c>
      <c r="L115" s="132" t="e">
        <f>K115/$K$87</f>
        <v>#DIV/0!</v>
      </c>
      <c r="M115" s="2"/>
      <c r="N115" s="2"/>
    </row>
    <row r="116" spans="1:14" ht="20.25" customHeight="1" outlineLevel="1" x14ac:dyDescent="0.3">
      <c r="A116" s="69"/>
      <c r="B116" s="123" t="s">
        <v>94</v>
      </c>
      <c r="C116" s="22"/>
      <c r="D116" s="134"/>
      <c r="E116" s="137">
        <v>0</v>
      </c>
      <c r="F116" s="127"/>
      <c r="G116" s="138">
        <v>0</v>
      </c>
      <c r="H116" s="127"/>
      <c r="I116" s="129">
        <f t="shared" si="18"/>
        <v>0</v>
      </c>
      <c r="J116" s="130"/>
      <c r="K116" s="131">
        <f>I116*(1+$C$51)</f>
        <v>0</v>
      </c>
      <c r="L116" s="132"/>
      <c r="M116" s="2"/>
      <c r="N116" s="2"/>
    </row>
    <row r="117" spans="1:14" ht="20.25" customHeight="1" outlineLevel="1" x14ac:dyDescent="0.3">
      <c r="A117" s="69"/>
      <c r="B117" s="123" t="s">
        <v>95</v>
      </c>
      <c r="C117" s="22"/>
      <c r="D117" s="134"/>
      <c r="E117" s="137">
        <v>0</v>
      </c>
      <c r="F117" s="127"/>
      <c r="G117" s="138">
        <v>0</v>
      </c>
      <c r="H117" s="127"/>
      <c r="I117" s="129">
        <f t="shared" si="18"/>
        <v>0</v>
      </c>
      <c r="J117" s="130"/>
      <c r="K117" s="131">
        <f>I117*(1+$C$51)</f>
        <v>0</v>
      </c>
      <c r="L117" s="132"/>
      <c r="M117" s="2"/>
      <c r="N117" s="2"/>
    </row>
    <row r="118" spans="1:14" ht="20.25" customHeight="1" outlineLevel="1" x14ac:dyDescent="0.3">
      <c r="A118" s="69"/>
      <c r="B118" s="123" t="s">
        <v>96</v>
      </c>
      <c r="C118" s="22"/>
      <c r="D118" s="134"/>
      <c r="E118" s="137">
        <v>0</v>
      </c>
      <c r="F118" s="127"/>
      <c r="G118" s="138">
        <v>0</v>
      </c>
      <c r="H118" s="127"/>
      <c r="I118" s="129">
        <f t="shared" si="18"/>
        <v>0</v>
      </c>
      <c r="J118" s="130"/>
      <c r="K118" s="131">
        <f>I118*(1+$C$51)</f>
        <v>0</v>
      </c>
      <c r="L118" s="132"/>
      <c r="M118" s="2"/>
      <c r="N118" s="2"/>
    </row>
    <row r="119" spans="1:14" ht="20.25" customHeight="1" outlineLevel="1" x14ac:dyDescent="0.3">
      <c r="A119" s="69"/>
      <c r="B119" s="123" t="s">
        <v>97</v>
      </c>
      <c r="C119" s="22"/>
      <c r="D119" s="134"/>
      <c r="E119" s="137">
        <v>0</v>
      </c>
      <c r="F119" s="127"/>
      <c r="G119" s="138">
        <v>0</v>
      </c>
      <c r="H119" s="127"/>
      <c r="I119" s="129">
        <f t="shared" si="18"/>
        <v>0</v>
      </c>
      <c r="J119" s="130"/>
      <c r="K119" s="131">
        <f>I119*(1+$C$51)</f>
        <v>0</v>
      </c>
      <c r="L119" s="132"/>
      <c r="M119" s="2"/>
      <c r="N119" s="2"/>
    </row>
    <row r="120" spans="1:14" ht="20.25" customHeight="1" outlineLevel="1" x14ac:dyDescent="0.3">
      <c r="A120" s="69"/>
      <c r="B120" s="124" t="s">
        <v>74</v>
      </c>
      <c r="C120" s="22"/>
      <c r="D120" s="134"/>
      <c r="E120" s="137">
        <v>0</v>
      </c>
      <c r="F120" s="127"/>
      <c r="G120" s="138">
        <v>0</v>
      </c>
      <c r="H120" s="127"/>
      <c r="I120" s="129">
        <f t="shared" si="18"/>
        <v>0</v>
      </c>
      <c r="J120" s="130"/>
      <c r="K120" s="131">
        <f>I120*(1+$C$51)</f>
        <v>0</v>
      </c>
      <c r="L120" s="132"/>
      <c r="M120" s="2"/>
      <c r="N120" s="2"/>
    </row>
    <row r="121" spans="1:14" ht="20.25" customHeight="1" x14ac:dyDescent="0.25">
      <c r="A121" s="69" t="s">
        <v>98</v>
      </c>
      <c r="B121" s="144"/>
      <c r="C121" s="22"/>
      <c r="D121" s="134"/>
      <c r="E121" s="135">
        <f>SUM(E116:E120)</f>
        <v>0</v>
      </c>
      <c r="F121" s="127" t="e">
        <f>E121/$E$87</f>
        <v>#DIV/0!</v>
      </c>
      <c r="G121" s="135">
        <f>SUM(G116:G120)</f>
        <v>0</v>
      </c>
      <c r="H121" s="127" t="e">
        <f>G121/$G$87</f>
        <v>#DIV/0!</v>
      </c>
      <c r="I121" s="135">
        <f>SUM(I116:I120)</f>
        <v>0</v>
      </c>
      <c r="J121" s="130" t="e">
        <f>I121/$I$87</f>
        <v>#DIV/0!</v>
      </c>
      <c r="K121" s="136">
        <f>SUM(K116:K120)</f>
        <v>0</v>
      </c>
      <c r="L121" s="132" t="e">
        <f>K121/$K$87</f>
        <v>#DIV/0!</v>
      </c>
      <c r="M121" s="2"/>
      <c r="N121" s="2"/>
    </row>
    <row r="122" spans="1:14" ht="20.25" customHeight="1" outlineLevel="1" x14ac:dyDescent="0.3">
      <c r="A122" s="69"/>
      <c r="B122" s="123" t="s">
        <v>99</v>
      </c>
      <c r="C122" s="22"/>
      <c r="D122" s="134"/>
      <c r="E122" s="137">
        <v>0</v>
      </c>
      <c r="F122" s="127"/>
      <c r="G122" s="138">
        <v>0</v>
      </c>
      <c r="H122" s="127"/>
      <c r="I122" s="129">
        <f t="shared" si="18"/>
        <v>0</v>
      </c>
      <c r="J122" s="130"/>
      <c r="K122" s="131">
        <f>I122*(1+$C$51)</f>
        <v>0</v>
      </c>
      <c r="L122" s="132"/>
      <c r="M122" s="2"/>
      <c r="N122" s="2"/>
    </row>
    <row r="123" spans="1:14" ht="20.25" customHeight="1" outlineLevel="1" x14ac:dyDescent="0.3">
      <c r="A123" s="69"/>
      <c r="B123" s="123" t="s">
        <v>100</v>
      </c>
      <c r="C123" s="22"/>
      <c r="D123" s="134"/>
      <c r="E123" s="137">
        <v>0</v>
      </c>
      <c r="F123" s="127"/>
      <c r="G123" s="138">
        <v>0</v>
      </c>
      <c r="H123" s="127"/>
      <c r="I123" s="129">
        <f t="shared" si="18"/>
        <v>0</v>
      </c>
      <c r="J123" s="130"/>
      <c r="K123" s="131">
        <f>I123*(1+$C$51)</f>
        <v>0</v>
      </c>
      <c r="L123" s="132"/>
      <c r="M123" s="2"/>
      <c r="N123" s="2"/>
    </row>
    <row r="124" spans="1:14" ht="20.25" customHeight="1" outlineLevel="1" x14ac:dyDescent="0.3">
      <c r="A124" s="69"/>
      <c r="B124" s="123" t="s">
        <v>101</v>
      </c>
      <c r="C124" s="22"/>
      <c r="D124" s="134"/>
      <c r="E124" s="137">
        <v>0</v>
      </c>
      <c r="F124" s="127"/>
      <c r="G124" s="138">
        <v>0</v>
      </c>
      <c r="H124" s="127"/>
      <c r="I124" s="129">
        <f t="shared" si="18"/>
        <v>0</v>
      </c>
      <c r="J124" s="130"/>
      <c r="K124" s="131">
        <f>I124*(1+$C$51)</f>
        <v>0</v>
      </c>
      <c r="L124" s="132"/>
      <c r="M124" s="2"/>
      <c r="N124" s="2"/>
    </row>
    <row r="125" spans="1:14" ht="20.25" customHeight="1" outlineLevel="1" x14ac:dyDescent="0.3">
      <c r="A125" s="69"/>
      <c r="B125" s="144" t="s">
        <v>74</v>
      </c>
      <c r="C125" s="22"/>
      <c r="D125" s="134"/>
      <c r="E125" s="137">
        <v>0</v>
      </c>
      <c r="F125" s="127"/>
      <c r="G125" s="138">
        <v>0</v>
      </c>
      <c r="H125" s="127"/>
      <c r="I125" s="129">
        <f t="shared" si="18"/>
        <v>0</v>
      </c>
      <c r="J125" s="130"/>
      <c r="K125" s="131">
        <f>I125*(1+$C$51)</f>
        <v>0</v>
      </c>
      <c r="L125" s="132"/>
      <c r="M125" s="2"/>
      <c r="N125" s="2"/>
    </row>
    <row r="126" spans="1:14" ht="20.25" customHeight="1" x14ac:dyDescent="0.25">
      <c r="A126" s="69" t="s">
        <v>102</v>
      </c>
      <c r="B126" s="144"/>
      <c r="C126" s="22"/>
      <c r="D126" s="70"/>
      <c r="E126" s="135">
        <f>SUM(E122:E125)</f>
        <v>0</v>
      </c>
      <c r="F126" s="127" t="e">
        <f>E126/$E$87</f>
        <v>#DIV/0!</v>
      </c>
      <c r="G126" s="135">
        <f>SUM(G122:G125)</f>
        <v>0</v>
      </c>
      <c r="H126" s="127" t="e">
        <f>G126/$G$87</f>
        <v>#DIV/0!</v>
      </c>
      <c r="I126" s="135">
        <f>SUM(I122:I125)</f>
        <v>0</v>
      </c>
      <c r="J126" s="130" t="e">
        <f>I126/$I$87</f>
        <v>#DIV/0!</v>
      </c>
      <c r="K126" s="136">
        <f>SUM(K122:K125)</f>
        <v>0</v>
      </c>
      <c r="L126" s="132" t="e">
        <f>K126/$K$87</f>
        <v>#DIV/0!</v>
      </c>
      <c r="M126" s="2"/>
      <c r="N126" s="2"/>
    </row>
    <row r="127" spans="1:14" ht="20.25" customHeight="1" x14ac:dyDescent="0.25">
      <c r="A127" s="69" t="s">
        <v>103</v>
      </c>
      <c r="B127" s="144"/>
      <c r="C127" s="145"/>
      <c r="D127" s="70"/>
      <c r="E127" s="135">
        <v>0</v>
      </c>
      <c r="F127" s="127" t="e">
        <f>E127/$E$87</f>
        <v>#DIV/0!</v>
      </c>
      <c r="G127" s="135">
        <v>0</v>
      </c>
      <c r="H127" s="127" t="e">
        <f>G127/$G$87</f>
        <v>#DIV/0!</v>
      </c>
      <c r="I127" s="136">
        <f>G127*(1+$C$50)</f>
        <v>0</v>
      </c>
      <c r="J127" s="130" t="e">
        <f>I127/$I$87</f>
        <v>#DIV/0!</v>
      </c>
      <c r="K127" s="131">
        <f>I127*(1+$C$51)</f>
        <v>0</v>
      </c>
      <c r="L127" s="132" t="e">
        <f>K127/$K$87</f>
        <v>#DIV/0!</v>
      </c>
      <c r="M127" s="2"/>
      <c r="N127" s="2"/>
    </row>
    <row r="128" spans="1:14" x14ac:dyDescent="0.25">
      <c r="A128" s="69"/>
      <c r="B128" s="146"/>
      <c r="C128" s="22"/>
      <c r="D128" s="134"/>
      <c r="E128" s="135"/>
      <c r="F128" s="127"/>
      <c r="G128" s="135"/>
      <c r="H128" s="127"/>
      <c r="I128" s="136"/>
      <c r="J128" s="147"/>
      <c r="K128" s="131"/>
      <c r="L128" s="148"/>
      <c r="M128" s="2"/>
      <c r="N128" s="2"/>
    </row>
    <row r="129" spans="1:14" ht="16.5" x14ac:dyDescent="0.3">
      <c r="A129" s="61" t="s">
        <v>104</v>
      </c>
      <c r="B129" s="149"/>
      <c r="C129" s="133"/>
      <c r="D129" s="150"/>
      <c r="E129" s="64">
        <f>E93+E96+E99+E105+E107+E112+E115+E121+E126+E127</f>
        <v>0</v>
      </c>
      <c r="F129" s="151" t="e">
        <f>E129/E87</f>
        <v>#DIV/0!</v>
      </c>
      <c r="G129" s="64">
        <f>G93+G96+G99+G105+G107+G112+G115+G121+G126+G127</f>
        <v>0</v>
      </c>
      <c r="H129" s="151" t="e">
        <f>G129/G87</f>
        <v>#DIV/0!</v>
      </c>
      <c r="I129" s="64">
        <f>I93+I96+I99+I105+I107+I112+I115+I121+I126+I127</f>
        <v>0</v>
      </c>
      <c r="J129" s="152" t="e">
        <f>I129/I87</f>
        <v>#DIV/0!</v>
      </c>
      <c r="K129" s="153">
        <f>K93+K96+K99+K105+K107+K112+K115+K121+K126+K127</f>
        <v>0</v>
      </c>
      <c r="L129" s="154" t="e">
        <f>K129/K87</f>
        <v>#DIV/0!</v>
      </c>
      <c r="M129" s="155"/>
      <c r="N129" s="2"/>
    </row>
    <row r="130" spans="1:14" ht="6" customHeight="1" x14ac:dyDescent="0.25">
      <c r="A130" s="69"/>
      <c r="B130" s="156"/>
      <c r="C130" s="133"/>
      <c r="D130" s="150"/>
      <c r="E130" s="135"/>
      <c r="F130" s="157"/>
      <c r="G130" s="135"/>
      <c r="H130" s="157"/>
      <c r="I130" s="136"/>
      <c r="J130" s="147"/>
      <c r="K130" s="131"/>
      <c r="L130" s="148"/>
      <c r="M130" s="155"/>
      <c r="N130" s="2"/>
    </row>
    <row r="131" spans="1:14" x14ac:dyDescent="0.25">
      <c r="A131" s="69"/>
      <c r="B131" s="156"/>
      <c r="C131" s="133"/>
      <c r="D131" s="158" t="str">
        <f>IF(C4="R","Expenses Per Unit:","")</f>
        <v>Expenses Per Unit:</v>
      </c>
      <c r="E131" s="135" t="e">
        <f>IF($C$4="R",E129/$A$77,"")</f>
        <v>#DIV/0!</v>
      </c>
      <c r="F131" s="157"/>
      <c r="G131" s="135" t="e">
        <f>IF($C$4="R",G129/$A$77,"")</f>
        <v>#DIV/0!</v>
      </c>
      <c r="H131" s="157"/>
      <c r="I131" s="136" t="e">
        <f>IF($C$4="R",I129/$A$77,"")</f>
        <v>#DIV/0!</v>
      </c>
      <c r="J131" s="147"/>
      <c r="K131" s="131" t="e">
        <f>IF($C$4="R",K129/$A$77,"")</f>
        <v>#DIV/0!</v>
      </c>
      <c r="L131" s="148"/>
      <c r="M131" s="155"/>
      <c r="N131" s="2"/>
    </row>
    <row r="132" spans="1:14" x14ac:dyDescent="0.25">
      <c r="A132" s="69"/>
      <c r="B132" s="22"/>
      <c r="C132" s="133"/>
      <c r="D132" s="159" t="s">
        <v>105</v>
      </c>
      <c r="E132" s="160" t="e">
        <f>IF($C$4="R",(E129/$D$77)/12,E129/$D$77)</f>
        <v>#DIV/0!</v>
      </c>
      <c r="F132" s="161"/>
      <c r="G132" s="160" t="e">
        <f>IF($C$4="R",(G129/$D$77)/12,G129/$D$77)</f>
        <v>#DIV/0!</v>
      </c>
      <c r="H132" s="161"/>
      <c r="I132" s="162" t="e">
        <f>IF($C$4="R",(I129/$D$77)/12,I129/$D$77)</f>
        <v>#DIV/0!</v>
      </c>
      <c r="J132" s="163"/>
      <c r="K132" s="164" t="e">
        <f>IF($C$4="R",(K129/$D$77)/12,K129/$D$77)</f>
        <v>#DIV/0!</v>
      </c>
      <c r="L132" s="148"/>
      <c r="M132" s="155"/>
      <c r="N132" s="2"/>
    </row>
    <row r="133" spans="1:14" x14ac:dyDescent="0.25">
      <c r="A133" s="69"/>
      <c r="B133" s="22"/>
      <c r="C133" s="22"/>
      <c r="D133" s="70"/>
      <c r="E133" s="160"/>
      <c r="F133" s="165"/>
      <c r="G133" s="160"/>
      <c r="H133" s="165"/>
      <c r="I133" s="166"/>
      <c r="J133" s="147"/>
      <c r="K133" s="164"/>
      <c r="L133" s="148"/>
      <c r="M133" s="155"/>
      <c r="N133" s="2"/>
    </row>
    <row r="134" spans="1:14" s="29" customFormat="1" ht="17.25" thickBot="1" x14ac:dyDescent="0.35">
      <c r="A134" s="167" t="s">
        <v>106</v>
      </c>
      <c r="B134" s="168"/>
      <c r="C134" s="168"/>
      <c r="D134" s="169"/>
      <c r="E134" s="170">
        <f>E87-E129</f>
        <v>0</v>
      </c>
      <c r="F134" s="171"/>
      <c r="G134" s="170">
        <f>G87-G129</f>
        <v>0</v>
      </c>
      <c r="H134" s="171"/>
      <c r="I134" s="172">
        <f>I87-I129</f>
        <v>0</v>
      </c>
      <c r="J134" s="173"/>
      <c r="K134" s="172">
        <f>K87-K129</f>
        <v>0</v>
      </c>
      <c r="L134" s="173"/>
      <c r="M134" s="174"/>
      <c r="N134" s="175"/>
    </row>
    <row r="135" spans="1:14" s="29" customFormat="1" ht="33.75" customHeight="1" thickTop="1" x14ac:dyDescent="0.3">
      <c r="A135" s="176" t="s">
        <v>107</v>
      </c>
      <c r="B135" s="177"/>
      <c r="C135" s="177"/>
      <c r="D135" s="178" t="s">
        <v>108</v>
      </c>
      <c r="E135" s="179" t="s">
        <v>109</v>
      </c>
      <c r="F135" s="180" t="s">
        <v>110</v>
      </c>
      <c r="G135" s="179" t="s">
        <v>109</v>
      </c>
      <c r="H135" s="180" t="s">
        <v>110</v>
      </c>
      <c r="I135" s="179" t="s">
        <v>109</v>
      </c>
      <c r="J135" s="180" t="s">
        <v>110</v>
      </c>
      <c r="K135" s="179" t="s">
        <v>109</v>
      </c>
      <c r="L135" s="180" t="s">
        <v>110</v>
      </c>
      <c r="M135" s="174"/>
      <c r="N135" s="175"/>
    </row>
    <row r="136" spans="1:14" s="4" customFormat="1" ht="16.5" x14ac:dyDescent="0.3">
      <c r="A136" s="181"/>
      <c r="B136" s="182"/>
      <c r="C136" s="183"/>
      <c r="D136" s="184">
        <f>B141</f>
        <v>0</v>
      </c>
      <c r="E136" s="185">
        <f>E134-I146</f>
        <v>0</v>
      </c>
      <c r="F136" s="285" t="e">
        <f>E136/C146</f>
        <v>#DIV/0!</v>
      </c>
      <c r="G136" s="185">
        <f>G134-I146</f>
        <v>0</v>
      </c>
      <c r="H136" s="186" t="e">
        <f>G136/C146</f>
        <v>#DIV/0!</v>
      </c>
      <c r="I136" s="187">
        <f>I134-I146</f>
        <v>0</v>
      </c>
      <c r="J136" s="188" t="e">
        <f>I136/C146</f>
        <v>#DIV/0!</v>
      </c>
      <c r="K136" s="189">
        <f>K134-I146</f>
        <v>0</v>
      </c>
      <c r="L136" s="190" t="e">
        <f>K136/C146</f>
        <v>#DIV/0!</v>
      </c>
      <c r="M136" s="155"/>
      <c r="N136" s="11"/>
    </row>
    <row r="137" spans="1:14" s="4" customFormat="1" ht="19.5" customHeight="1" x14ac:dyDescent="0.3">
      <c r="A137" s="181"/>
      <c r="B137" s="182"/>
      <c r="C137" s="183"/>
      <c r="D137" s="184">
        <f>B142</f>
        <v>0</v>
      </c>
      <c r="E137" s="185">
        <f>E134-I147</f>
        <v>0</v>
      </c>
      <c r="F137" s="286" t="e">
        <f>E137/C147</f>
        <v>#DIV/0!</v>
      </c>
      <c r="G137" s="185">
        <f>G134-I147</f>
        <v>0</v>
      </c>
      <c r="H137" s="191" t="e">
        <f>G137/C147</f>
        <v>#DIV/0!</v>
      </c>
      <c r="I137" s="192">
        <f>I134-I147</f>
        <v>0</v>
      </c>
      <c r="J137" s="193" t="e">
        <f>I137/C147</f>
        <v>#DIV/0!</v>
      </c>
      <c r="K137" s="189">
        <f>K134-I147</f>
        <v>0</v>
      </c>
      <c r="L137" s="190" t="e">
        <f>K137/C147</f>
        <v>#DIV/0!</v>
      </c>
      <c r="M137" s="155"/>
      <c r="N137" s="11"/>
    </row>
    <row r="138" spans="1:14" s="4" customFormat="1" ht="19.5" customHeight="1" thickBot="1" x14ac:dyDescent="0.35">
      <c r="A138" s="194"/>
      <c r="B138" s="195"/>
      <c r="C138" s="196"/>
      <c r="D138" s="197">
        <f>B143</f>
        <v>0</v>
      </c>
      <c r="E138" s="198">
        <f>E134-I148</f>
        <v>0</v>
      </c>
      <c r="F138" s="287" t="e">
        <f>E138/C148</f>
        <v>#DIV/0!</v>
      </c>
      <c r="G138" s="198">
        <f>G134-I148</f>
        <v>0</v>
      </c>
      <c r="H138" s="199" t="e">
        <f>G138/C148</f>
        <v>#DIV/0!</v>
      </c>
      <c r="I138" s="200">
        <f>I134-I148</f>
        <v>0</v>
      </c>
      <c r="J138" s="201" t="e">
        <f>I138/C148</f>
        <v>#DIV/0!</v>
      </c>
      <c r="K138" s="202">
        <f>K134-I148</f>
        <v>0</v>
      </c>
      <c r="L138" s="203" t="e">
        <f>K138/C148</f>
        <v>#DIV/0!</v>
      </c>
      <c r="M138" s="155"/>
      <c r="N138" s="11"/>
    </row>
    <row r="139" spans="1:14" ht="17.25" thickBot="1" x14ac:dyDescent="0.35">
      <c r="A139" s="204"/>
      <c r="B139" s="22"/>
      <c r="C139" s="22"/>
      <c r="D139" s="22"/>
      <c r="E139" s="17"/>
      <c r="F139" s="17"/>
      <c r="G139" s="17"/>
      <c r="H139" s="17"/>
      <c r="I139" s="205"/>
      <c r="J139" s="206"/>
      <c r="K139" s="206"/>
      <c r="L139" s="148"/>
      <c r="M139" s="2"/>
    </row>
    <row r="140" spans="1:14" ht="24.75" customHeight="1" x14ac:dyDescent="0.3">
      <c r="A140" s="207" t="s">
        <v>111</v>
      </c>
      <c r="B140" s="208" t="s">
        <v>108</v>
      </c>
      <c r="C140" s="209" t="str">
        <f>IF(C4="R","Cost/Unit","")</f>
        <v>Cost/Unit</v>
      </c>
      <c r="D140" s="209" t="s">
        <v>112</v>
      </c>
      <c r="E140" s="209" t="s">
        <v>113</v>
      </c>
      <c r="F140" s="208" t="s">
        <v>114</v>
      </c>
      <c r="G140" s="209" t="s">
        <v>113</v>
      </c>
      <c r="H140" s="210" t="s">
        <v>114</v>
      </c>
      <c r="I140" s="208"/>
      <c r="J140" s="208" t="s">
        <v>114</v>
      </c>
      <c r="K140" s="209"/>
      <c r="L140" s="211" t="s">
        <v>114</v>
      </c>
      <c r="M140" s="2"/>
    </row>
    <row r="141" spans="1:14" s="118" customFormat="1" ht="21" customHeight="1" x14ac:dyDescent="0.25">
      <c r="A141" s="212" t="str">
        <f>C10</f>
        <v>Scenario 1</v>
      </c>
      <c r="B141" s="213">
        <f>C43</f>
        <v>0</v>
      </c>
      <c r="C141" s="213" t="e">
        <f>IF($C$4="R",B141/$A$77,"")</f>
        <v>#DIV/0!</v>
      </c>
      <c r="D141" s="214" t="e">
        <f>B141/D77</f>
        <v>#DIV/0!</v>
      </c>
      <c r="E141" s="215" t="e">
        <f>B141/$E$87</f>
        <v>#DIV/0!</v>
      </c>
      <c r="F141" s="283" t="e">
        <f>$E$134/B141</f>
        <v>#DIV/0!</v>
      </c>
      <c r="G141" s="215" t="e">
        <f>B141/$G$87</f>
        <v>#DIV/0!</v>
      </c>
      <c r="H141" s="217" t="e">
        <f>G134/B141</f>
        <v>#DIV/0!</v>
      </c>
      <c r="I141" s="214"/>
      <c r="J141" s="217" t="e">
        <f>I134/B141</f>
        <v>#DIV/0!</v>
      </c>
      <c r="K141" s="214"/>
      <c r="L141" s="218" t="e">
        <f>K134/B141</f>
        <v>#DIV/0!</v>
      </c>
      <c r="M141" s="117"/>
    </row>
    <row r="142" spans="1:14" ht="21" customHeight="1" x14ac:dyDescent="0.25">
      <c r="A142" s="212" t="str">
        <f>E10</f>
        <v>Scenario 2</v>
      </c>
      <c r="B142" s="219">
        <f>E43</f>
        <v>0</v>
      </c>
      <c r="C142" s="220" t="e">
        <f>IF($C$4="R",B142/$A$77,"")</f>
        <v>#DIV/0!</v>
      </c>
      <c r="D142" s="221" t="e">
        <f>B142/D77</f>
        <v>#DIV/0!</v>
      </c>
      <c r="E142" s="215" t="e">
        <f>B142/$E$87</f>
        <v>#DIV/0!</v>
      </c>
      <c r="F142" s="283" t="e">
        <f>$E$134/B142</f>
        <v>#DIV/0!</v>
      </c>
      <c r="G142" s="215" t="e">
        <f>B142/$G$87</f>
        <v>#DIV/0!</v>
      </c>
      <c r="H142" s="222" t="e">
        <f>G134/B142</f>
        <v>#DIV/0!</v>
      </c>
      <c r="I142" s="223"/>
      <c r="J142" s="224" t="e">
        <f>I134/B142</f>
        <v>#DIV/0!</v>
      </c>
      <c r="K142" s="221"/>
      <c r="L142" s="130" t="e">
        <f>K134/B142</f>
        <v>#DIV/0!</v>
      </c>
      <c r="M142" s="2"/>
    </row>
    <row r="143" spans="1:14" ht="21" customHeight="1" thickBot="1" x14ac:dyDescent="0.3">
      <c r="A143" s="225" t="str">
        <f>G10</f>
        <v>Scenario 3</v>
      </c>
      <c r="B143" s="226">
        <f>G43</f>
        <v>0</v>
      </c>
      <c r="C143" s="227" t="e">
        <f>IF($C$4="R",B143/$A$77,"")</f>
        <v>#DIV/0!</v>
      </c>
      <c r="D143" s="228" t="e">
        <f>B143/D77</f>
        <v>#DIV/0!</v>
      </c>
      <c r="E143" s="229" t="e">
        <f>B143/$E$87</f>
        <v>#DIV/0!</v>
      </c>
      <c r="F143" s="284" t="e">
        <f>$E$134/B143</f>
        <v>#DIV/0!</v>
      </c>
      <c r="G143" s="231" t="e">
        <f>B143/$G$87</f>
        <v>#DIV/0!</v>
      </c>
      <c r="H143" s="232" t="e">
        <f>G134/B143</f>
        <v>#DIV/0!</v>
      </c>
      <c r="I143" s="233"/>
      <c r="J143" s="234" t="e">
        <f>I134/B143</f>
        <v>#DIV/0!</v>
      </c>
      <c r="K143" s="228"/>
      <c r="L143" s="235" t="e">
        <f>K134/B143</f>
        <v>#DIV/0!</v>
      </c>
      <c r="M143" s="2"/>
    </row>
    <row r="144" spans="1:14" ht="16.5" thickBot="1" x14ac:dyDescent="0.3">
      <c r="A144" s="2"/>
      <c r="B144" s="2"/>
      <c r="C144" s="2"/>
      <c r="D144" s="2"/>
    </row>
    <row r="145" spans="1:13" ht="49.5" x14ac:dyDescent="0.3">
      <c r="A145" s="236" t="s">
        <v>108</v>
      </c>
      <c r="B145" s="237" t="s">
        <v>115</v>
      </c>
      <c r="C145" s="237" t="s">
        <v>116</v>
      </c>
      <c r="D145" s="237" t="s">
        <v>117</v>
      </c>
      <c r="E145" s="237" t="s">
        <v>118</v>
      </c>
      <c r="F145" s="237" t="s">
        <v>119</v>
      </c>
      <c r="G145" s="237" t="s">
        <v>120</v>
      </c>
      <c r="H145" s="237" t="s">
        <v>121</v>
      </c>
      <c r="I145" s="238" t="s">
        <v>122</v>
      </c>
      <c r="J145" s="239" t="s">
        <v>123</v>
      </c>
      <c r="M145" s="3"/>
    </row>
    <row r="146" spans="1:13" ht="21" customHeight="1" x14ac:dyDescent="0.3">
      <c r="A146" s="240">
        <f>B141</f>
        <v>0</v>
      </c>
      <c r="B146" s="241">
        <f>A146-C146</f>
        <v>0</v>
      </c>
      <c r="C146" s="241">
        <f>A146*D146</f>
        <v>0</v>
      </c>
      <c r="D146" s="242">
        <v>0.25</v>
      </c>
      <c r="E146" s="243" t="e">
        <f>B146/D158</f>
        <v>#DIV/0!</v>
      </c>
      <c r="F146" s="244">
        <v>3.7499999999999999E-2</v>
      </c>
      <c r="G146" s="245">
        <v>25</v>
      </c>
      <c r="H146" s="246">
        <f>-PMT(F146/12,G146*12,B146)</f>
        <v>0</v>
      </c>
      <c r="I146" s="246">
        <f>H146*12</f>
        <v>0</v>
      </c>
      <c r="J146" s="288" t="e">
        <f>G134/I146</f>
        <v>#DIV/0!</v>
      </c>
      <c r="M146" s="3"/>
    </row>
    <row r="147" spans="1:13" ht="21" customHeight="1" x14ac:dyDescent="0.3">
      <c r="A147" s="240">
        <f>B142</f>
        <v>0</v>
      </c>
      <c r="B147" s="241">
        <f>A147-C147</f>
        <v>0</v>
      </c>
      <c r="C147" s="241">
        <f>A147*D147</f>
        <v>0</v>
      </c>
      <c r="D147" s="242">
        <v>0.25</v>
      </c>
      <c r="E147" s="243" t="e">
        <f>B147/D159</f>
        <v>#DIV/0!</v>
      </c>
      <c r="F147" s="244">
        <v>3.7499999999999999E-2</v>
      </c>
      <c r="G147" s="245">
        <v>25</v>
      </c>
      <c r="H147" s="246">
        <f>-PMT(F147/12,G147*12,B147)</f>
        <v>0</v>
      </c>
      <c r="I147" s="246">
        <f>H147*12</f>
        <v>0</v>
      </c>
      <c r="J147" s="288" t="e">
        <f>I134/I147</f>
        <v>#DIV/0!</v>
      </c>
      <c r="M147" s="3"/>
    </row>
    <row r="148" spans="1:13" ht="21" customHeight="1" thickBot="1" x14ac:dyDescent="0.35">
      <c r="A148" s="248">
        <f>B143</f>
        <v>0</v>
      </c>
      <c r="B148" s="249">
        <f>A148-C148</f>
        <v>0</v>
      </c>
      <c r="C148" s="249">
        <f>A148*D148</f>
        <v>0</v>
      </c>
      <c r="D148" s="250">
        <v>0.25</v>
      </c>
      <c r="E148" s="251" t="e">
        <f>B148/D160</f>
        <v>#DIV/0!</v>
      </c>
      <c r="F148" s="252">
        <v>3.7499999999999999E-2</v>
      </c>
      <c r="G148" s="253">
        <v>25</v>
      </c>
      <c r="H148" s="254">
        <f>-PMT(F148/12,G148*12,B148)</f>
        <v>0</v>
      </c>
      <c r="I148" s="254">
        <f>H148*12</f>
        <v>0</v>
      </c>
      <c r="J148" s="289" t="e">
        <f>K134/I148</f>
        <v>#DIV/0!</v>
      </c>
      <c r="M148" s="3"/>
    </row>
    <row r="149" spans="1:13" ht="21" customHeight="1" x14ac:dyDescent="0.3">
      <c r="A149" s="241"/>
      <c r="B149" s="241"/>
      <c r="C149" s="241"/>
      <c r="D149" s="256"/>
      <c r="E149" s="257"/>
      <c r="F149" s="258"/>
      <c r="G149" s="8"/>
      <c r="H149" s="246"/>
      <c r="I149" s="246"/>
      <c r="J149" s="259"/>
      <c r="M149" s="3"/>
    </row>
    <row r="150" spans="1:13" ht="21.75" thickBot="1" x14ac:dyDescent="0.4">
      <c r="A150" s="260" t="s">
        <v>124</v>
      </c>
      <c r="B150" s="6"/>
      <c r="C150" s="6"/>
      <c r="D150" s="6"/>
    </row>
    <row r="151" spans="1:13" ht="16.5" x14ac:dyDescent="0.3">
      <c r="A151" s="261" t="s">
        <v>114</v>
      </c>
      <c r="B151" s="28" t="s">
        <v>125</v>
      </c>
      <c r="C151" s="262"/>
      <c r="D151" s="263"/>
      <c r="E151" s="263"/>
      <c r="F151" s="263"/>
      <c r="G151" s="263"/>
      <c r="H151" s="1"/>
      <c r="I151" s="1"/>
      <c r="J151" s="2"/>
      <c r="K151" s="3"/>
      <c r="M151" s="2"/>
    </row>
    <row r="152" spans="1:13" ht="16.5" x14ac:dyDescent="0.3">
      <c r="A152" s="264">
        <v>0.05</v>
      </c>
      <c r="B152" s="265">
        <f>$E$134/A152</f>
        <v>0</v>
      </c>
      <c r="C152" s="266"/>
      <c r="D152" s="267"/>
      <c r="E152" s="268"/>
      <c r="F152" s="267"/>
      <c r="G152" s="268"/>
      <c r="H152" s="1"/>
      <c r="I152" s="1"/>
      <c r="J152" s="2"/>
      <c r="K152" s="3"/>
      <c r="M152" s="2"/>
    </row>
    <row r="153" spans="1:13" ht="16.5" x14ac:dyDescent="0.3">
      <c r="A153" s="269">
        <v>6.5000000000000002E-2</v>
      </c>
      <c r="B153" s="265">
        <f>$E$134/A153</f>
        <v>0</v>
      </c>
      <c r="C153" s="266"/>
      <c r="D153" s="267"/>
      <c r="E153" s="268"/>
      <c r="F153" s="267"/>
      <c r="G153" s="268"/>
      <c r="H153" s="1"/>
      <c r="I153" s="1"/>
      <c r="J153" s="2"/>
      <c r="K153" s="3"/>
      <c r="M153" s="2"/>
    </row>
    <row r="154" spans="1:13" ht="17.25" thickBot="1" x14ac:dyDescent="0.35">
      <c r="A154" s="270">
        <v>0.08</v>
      </c>
      <c r="B154" s="271">
        <f>$E$134/A154</f>
        <v>0</v>
      </c>
      <c r="C154" s="266"/>
      <c r="D154" s="267"/>
      <c r="E154" s="268"/>
      <c r="F154" s="267"/>
      <c r="G154" s="268"/>
      <c r="H154" s="1"/>
      <c r="I154" s="1"/>
      <c r="J154" s="2"/>
      <c r="K154" s="3"/>
      <c r="M154" s="2"/>
    </row>
    <row r="155" spans="1:13" x14ac:dyDescent="0.25">
      <c r="A155" s="6"/>
      <c r="B155" s="6"/>
      <c r="C155" s="6"/>
      <c r="D155" s="6"/>
    </row>
    <row r="156" spans="1:13" ht="21.75" thickBot="1" x14ac:dyDescent="0.4">
      <c r="A156" s="260" t="s">
        <v>126</v>
      </c>
      <c r="B156" s="6"/>
      <c r="C156" s="6"/>
      <c r="D156" s="6"/>
    </row>
    <row r="157" spans="1:13" ht="33" x14ac:dyDescent="0.3">
      <c r="A157" s="261" t="s">
        <v>127</v>
      </c>
      <c r="B157" s="261" t="s">
        <v>128</v>
      </c>
      <c r="C157" s="261" t="s">
        <v>129</v>
      </c>
      <c r="D157" s="261" t="s">
        <v>130</v>
      </c>
      <c r="E157" s="261" t="s">
        <v>131</v>
      </c>
      <c r="F157" s="261" t="s">
        <v>132</v>
      </c>
      <c r="G157" s="261" t="s">
        <v>133</v>
      </c>
      <c r="H157" s="261" t="s">
        <v>114</v>
      </c>
      <c r="I157" s="28" t="s">
        <v>125</v>
      </c>
      <c r="J157" s="2"/>
      <c r="K157" s="3"/>
      <c r="M157" s="2"/>
    </row>
    <row r="158" spans="1:13" ht="16.5" x14ac:dyDescent="0.3">
      <c r="A158" s="212" t="str">
        <f>C10</f>
        <v>Scenario 1</v>
      </c>
      <c r="B158" s="240">
        <f>C25</f>
        <v>0</v>
      </c>
      <c r="C158" s="272">
        <f>C43-C25</f>
        <v>0</v>
      </c>
      <c r="D158" s="241">
        <f>B158+C158</f>
        <v>0</v>
      </c>
      <c r="E158" s="273" t="e">
        <f>K136/D158</f>
        <v>#DIV/0!</v>
      </c>
      <c r="F158" s="241">
        <f>D158-B146</f>
        <v>0</v>
      </c>
      <c r="G158" s="273" t="e">
        <f>K136/F158</f>
        <v>#DIV/0!</v>
      </c>
      <c r="H158" s="274">
        <v>0.06</v>
      </c>
      <c r="I158" s="134">
        <f>$K$134/H158</f>
        <v>0</v>
      </c>
      <c r="J158" s="2"/>
      <c r="K158" s="3"/>
      <c r="M158" s="2"/>
    </row>
    <row r="159" spans="1:13" ht="16.5" x14ac:dyDescent="0.3">
      <c r="A159" s="212" t="str">
        <f>E10</f>
        <v>Scenario 2</v>
      </c>
      <c r="B159" s="240">
        <f>E25</f>
        <v>0</v>
      </c>
      <c r="C159" s="219">
        <f>E43-E25</f>
        <v>0</v>
      </c>
      <c r="D159" s="241">
        <f>B159+C159</f>
        <v>0</v>
      </c>
      <c r="E159" s="275" t="e">
        <f>K137/D159</f>
        <v>#DIV/0!</v>
      </c>
      <c r="F159" s="241">
        <f>D159-B147</f>
        <v>0</v>
      </c>
      <c r="G159" s="275" t="e">
        <f>K137/F159</f>
        <v>#DIV/0!</v>
      </c>
      <c r="H159" s="276">
        <v>6.5000000000000002E-2</v>
      </c>
      <c r="I159" s="134">
        <f>$K$134/H159</f>
        <v>0</v>
      </c>
      <c r="J159" s="2"/>
      <c r="K159" s="3"/>
      <c r="M159" s="2"/>
    </row>
    <row r="160" spans="1:13" ht="17.25" thickBot="1" x14ac:dyDescent="0.35">
      <c r="A160" s="225" t="str">
        <f>G10</f>
        <v>Scenario 3</v>
      </c>
      <c r="B160" s="248">
        <f>G25</f>
        <v>0</v>
      </c>
      <c r="C160" s="226">
        <f>G43-G25</f>
        <v>0</v>
      </c>
      <c r="D160" s="249">
        <f>B160+C160</f>
        <v>0</v>
      </c>
      <c r="E160" s="277" t="e">
        <f>K138/D160</f>
        <v>#DIV/0!</v>
      </c>
      <c r="F160" s="249">
        <f>D160-B148</f>
        <v>0</v>
      </c>
      <c r="G160" s="277" t="e">
        <f>K138/F160</f>
        <v>#DIV/0!</v>
      </c>
      <c r="H160" s="278">
        <v>7.0000000000000007E-2</v>
      </c>
      <c r="I160" s="279">
        <f>$K$134/H160</f>
        <v>0</v>
      </c>
      <c r="J160" s="2"/>
      <c r="K160" s="3"/>
      <c r="M160" s="2"/>
    </row>
    <row r="162" spans="1:6" ht="16.5" hidden="1" x14ac:dyDescent="0.3">
      <c r="A162" s="280" t="s">
        <v>134</v>
      </c>
      <c r="C162" s="281" t="str">
        <f>C46*100&amp;"%"&amp;" and "&amp;C47*100&amp;"%" &amp;" , respectively."</f>
        <v>0% and 0% , respectively.</v>
      </c>
      <c r="E162" s="6"/>
      <c r="F162" s="1"/>
    </row>
    <row r="163" spans="1:6" ht="16.5" hidden="1" x14ac:dyDescent="0.3">
      <c r="A163" s="280" t="s">
        <v>135</v>
      </c>
      <c r="C163" s="281" t="str">
        <f>C50*100&amp;"%"&amp;" and "&amp;C51*100&amp;"%" &amp;" , respectively."</f>
        <v>0% and 0% , respectively.</v>
      </c>
    </row>
    <row r="164" spans="1:6" x14ac:dyDescent="0.25">
      <c r="A164" s="282" t="s">
        <v>136</v>
      </c>
      <c r="B164" s="6"/>
      <c r="C164" s="6"/>
      <c r="D164" s="6"/>
    </row>
    <row r="165" spans="1:6" x14ac:dyDescent="0.25">
      <c r="A165" s="282" t="s">
        <v>137</v>
      </c>
      <c r="B165" s="6"/>
      <c r="C165" s="6"/>
      <c r="D165" s="6"/>
    </row>
  </sheetData>
  <mergeCells count="10">
    <mergeCell ref="E88:F88"/>
    <mergeCell ref="G88:H88"/>
    <mergeCell ref="I88:J88"/>
    <mergeCell ref="K88:L88"/>
    <mergeCell ref="A54:J54"/>
    <mergeCell ref="E80:F80"/>
    <mergeCell ref="G80:H80"/>
    <mergeCell ref="I80:J80"/>
    <mergeCell ref="K80:L80"/>
    <mergeCell ref="C84:D84"/>
  </mergeCells>
  <printOptions horizontalCentered="1"/>
  <pageMargins left="0" right="0" top="0.18" bottom="0.21" header="0.18" footer="0.16"/>
  <pageSetup scale="45" fitToHeight="2" orientation="portrait" r:id="rId1"/>
  <headerFooter alignWithMargins="0">
    <oddHeader>&amp;C&amp;"Arial,Bold"&amp;14&amp;A</oddHeader>
  </headerFooter>
  <rowBreaks count="1" manualBreakCount="1">
    <brk id="5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Bloomfield Road</vt:lpstr>
      <vt:lpstr>Bloomfield Apts.</vt:lpstr>
      <vt:lpstr>New Development</vt:lpstr>
      <vt:lpstr>Blank 3 Column</vt:lpstr>
      <vt:lpstr>Blank Development</vt:lpstr>
      <vt:lpstr>'Blank Development'!Print_Area</vt:lpstr>
      <vt:lpstr>'Bloomfield Road'!Print_Area</vt:lpstr>
      <vt:lpstr>'New Development'!Print_Area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2021-01-26T01:55:26Z</cp:lastPrinted>
  <dcterms:created xsi:type="dcterms:W3CDTF">2021-01-21T13:54:09Z</dcterms:created>
  <dcterms:modified xsi:type="dcterms:W3CDTF">2021-01-26T14:36:09Z</dcterms:modified>
</cp:coreProperties>
</file>